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reaucrg.sharepoint.com/sites/algemeen/Gedeelde documenten/General/formats aanleveren documenten/isolatie/Aanvraag voor Controle Isolatiemateriaal/Rekentools/Isolatie algemeen/2025/"/>
    </mc:Choice>
  </mc:AlternateContent>
  <xr:revisionPtr revIDLastSave="119" documentId="8_{9B8EFD34-047F-495A-A611-8F4513ECDBB3}" xr6:coauthVersionLast="47" xr6:coauthVersionMax="47" xr10:uidLastSave="{D08FE033-01A8-4559-8A81-92CA319085C9}"/>
  <bookViews>
    <workbookView xWindow="-120" yWindow="-120" windowWidth="29040" windowHeight="15720" activeTab="2" xr2:uid="{00000000-000D-0000-FFFF-FFFF00000000}"/>
  </bookViews>
  <sheets>
    <sheet name="Rc-waarden verklaring" sheetId="12" r:id="rId1"/>
    <sheet name="Lambda D" sheetId="14" r:id="rId2"/>
    <sheet name="Gevel" sheetId="15" r:id="rId3"/>
    <sheet name="Vloer" sheetId="18" r:id="rId4"/>
    <sheet name="Dak ononderbroken" sheetId="19" r:id="rId5"/>
    <sheet name="Dak tussen de gordingen" sheetId="2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5" l="1"/>
  <c r="D18" i="15" s="1"/>
  <c r="D17" i="15"/>
  <c r="AL17" i="15"/>
  <c r="W16" i="18"/>
  <c r="F2" i="15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11" i="12"/>
  <c r="AL18" i="20"/>
  <c r="AM18" i="20"/>
  <c r="AL19" i="20"/>
  <c r="AM19" i="20"/>
  <c r="AL20" i="20"/>
  <c r="AM20" i="20"/>
  <c r="AL21" i="20"/>
  <c r="AM21" i="20"/>
  <c r="AL22" i="20"/>
  <c r="AM22" i="20"/>
  <c r="AL23" i="20"/>
  <c r="AM23" i="20"/>
  <c r="AL24" i="20"/>
  <c r="AM24" i="20"/>
  <c r="AL25" i="20"/>
  <c r="AM25" i="20"/>
  <c r="AL26" i="20"/>
  <c r="AM26" i="20"/>
  <c r="AL27" i="20"/>
  <c r="AM27" i="20"/>
  <c r="AL28" i="20"/>
  <c r="AM28" i="20"/>
  <c r="AL29" i="20"/>
  <c r="AM29" i="20"/>
  <c r="AL30" i="20"/>
  <c r="AM30" i="20"/>
  <c r="AL31" i="20"/>
  <c r="AM31" i="20"/>
  <c r="AL32" i="20"/>
  <c r="AM32" i="20"/>
  <c r="AL33" i="20"/>
  <c r="AM33" i="20"/>
  <c r="AL34" i="20"/>
  <c r="AM34" i="20"/>
  <c r="AL35" i="20"/>
  <c r="AM35" i="20"/>
  <c r="AM17" i="20"/>
  <c r="AL17" i="20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17" i="19"/>
  <c r="AL18" i="18"/>
  <c r="F16" i="14"/>
  <c r="H4" i="20"/>
  <c r="H4" i="19"/>
  <c r="H5" i="18"/>
  <c r="F2" i="20"/>
  <c r="A19" i="15" l="1"/>
  <c r="A20" i="15" s="1"/>
  <c r="D20" i="15" s="1"/>
  <c r="AL18" i="15"/>
  <c r="A18" i="20"/>
  <c r="D17" i="20"/>
  <c r="W16" i="20"/>
  <c r="X16" i="20" s="1"/>
  <c r="K16" i="20"/>
  <c r="G16" i="20" s="1"/>
  <c r="M12" i="20" s="1"/>
  <c r="X15" i="20"/>
  <c r="W14" i="20"/>
  <c r="X14" i="20" s="1"/>
  <c r="C13" i="20"/>
  <c r="B17" i="20" s="1"/>
  <c r="AG6" i="20"/>
  <c r="W15" i="20" s="1"/>
  <c r="AN5" i="20"/>
  <c r="AN6" i="20" s="1"/>
  <c r="M5" i="20"/>
  <c r="J5" i="20"/>
  <c r="M4" i="20"/>
  <c r="M3" i="20"/>
  <c r="AG2" i="20"/>
  <c r="A18" i="19"/>
  <c r="A19" i="19" s="1"/>
  <c r="D17" i="19"/>
  <c r="W16" i="19"/>
  <c r="X16" i="19" s="1"/>
  <c r="K16" i="19"/>
  <c r="O15" i="19" s="1"/>
  <c r="W14" i="19"/>
  <c r="X14" i="19" s="1"/>
  <c r="AG6" i="19"/>
  <c r="AG7" i="19" s="1"/>
  <c r="AN5" i="19"/>
  <c r="AN6" i="19" s="1"/>
  <c r="F2" i="19" s="1"/>
  <c r="C13" i="19" s="1"/>
  <c r="M5" i="19"/>
  <c r="J5" i="19"/>
  <c r="M4" i="19"/>
  <c r="M3" i="19"/>
  <c r="AG2" i="19"/>
  <c r="A19" i="18"/>
  <c r="D18" i="18"/>
  <c r="W17" i="18"/>
  <c r="X17" i="18" s="1"/>
  <c r="K17" i="18"/>
  <c r="G17" i="18" s="1"/>
  <c r="X16" i="18"/>
  <c r="W15" i="18"/>
  <c r="X15" i="18" s="1"/>
  <c r="AG7" i="18"/>
  <c r="AN6" i="18"/>
  <c r="AN7" i="18" s="1"/>
  <c r="M6" i="18"/>
  <c r="J6" i="18"/>
  <c r="M5" i="18"/>
  <c r="M4" i="18"/>
  <c r="AG3" i="18"/>
  <c r="W16" i="15"/>
  <c r="X16" i="15" s="1"/>
  <c r="K16" i="15"/>
  <c r="N12" i="15" s="1"/>
  <c r="W14" i="15"/>
  <c r="X14" i="15" s="1"/>
  <c r="AG6" i="15"/>
  <c r="AG7" i="15" s="1"/>
  <c r="AN5" i="15"/>
  <c r="C13" i="15" s="1"/>
  <c r="M5" i="15"/>
  <c r="J5" i="15"/>
  <c r="M4" i="15"/>
  <c r="H4" i="15"/>
  <c r="M3" i="15"/>
  <c r="AG2" i="15"/>
  <c r="AL20" i="15" l="1"/>
  <c r="D19" i="15"/>
  <c r="AL19" i="15"/>
  <c r="B17" i="15"/>
  <c r="B18" i="15"/>
  <c r="B19" i="15"/>
  <c r="B20" i="15"/>
  <c r="F3" i="18"/>
  <c r="C14" i="18" s="1"/>
  <c r="A20" i="18"/>
  <c r="AL19" i="18"/>
  <c r="D18" i="19"/>
  <c r="B17" i="19"/>
  <c r="X15" i="19"/>
  <c r="N12" i="19"/>
  <c r="N12" i="20"/>
  <c r="AG7" i="20"/>
  <c r="B18" i="20"/>
  <c r="B18" i="19"/>
  <c r="W15" i="19"/>
  <c r="D19" i="18"/>
  <c r="O15" i="20"/>
  <c r="A19" i="20"/>
  <c r="D18" i="20"/>
  <c r="O14" i="20"/>
  <c r="AG3" i="20"/>
  <c r="B19" i="19"/>
  <c r="G16" i="19"/>
  <c r="D19" i="19"/>
  <c r="A20" i="19"/>
  <c r="AG3" i="19"/>
  <c r="AG4" i="19" s="1"/>
  <c r="M13" i="18"/>
  <c r="O15" i="18"/>
  <c r="A21" i="18"/>
  <c r="AL21" i="18" s="1"/>
  <c r="N13" i="18"/>
  <c r="O16" i="18"/>
  <c r="AG4" i="18"/>
  <c r="AG5" i="18" s="1"/>
  <c r="G14" i="18"/>
  <c r="AG8" i="18"/>
  <c r="W15" i="15"/>
  <c r="X15" i="15"/>
  <c r="O15" i="15"/>
  <c r="G16" i="15"/>
  <c r="AG3" i="15"/>
  <c r="V19" i="15" l="1"/>
  <c r="Y19" i="15" s="1"/>
  <c r="V17" i="15"/>
  <c r="Y17" i="15" s="1"/>
  <c r="V20" i="15"/>
  <c r="Y20" i="15" s="1"/>
  <c r="V18" i="15"/>
  <c r="Y18" i="15" s="1"/>
  <c r="B18" i="18"/>
  <c r="B20" i="18"/>
  <c r="B19" i="18"/>
  <c r="G15" i="18"/>
  <c r="O21" i="18" s="1"/>
  <c r="AB17" i="18"/>
  <c r="AL20" i="18"/>
  <c r="D20" i="18"/>
  <c r="AB16" i="19"/>
  <c r="G13" i="19"/>
  <c r="G14" i="19"/>
  <c r="AG4" i="20"/>
  <c r="G14" i="20" s="1"/>
  <c r="G13" i="20"/>
  <c r="D19" i="20"/>
  <c r="A20" i="20"/>
  <c r="B19" i="20"/>
  <c r="M12" i="19"/>
  <c r="O14" i="19"/>
  <c r="D20" i="19"/>
  <c r="A21" i="19"/>
  <c r="B20" i="19"/>
  <c r="D21" i="18"/>
  <c r="B21" i="18"/>
  <c r="A22" i="18"/>
  <c r="AL22" i="18" s="1"/>
  <c r="AG4" i="15"/>
  <c r="AB16" i="15" s="1"/>
  <c r="M12" i="15"/>
  <c r="O14" i="15"/>
  <c r="A21" i="15"/>
  <c r="AL21" i="15" s="1"/>
  <c r="G14" i="15" l="1"/>
  <c r="G13" i="15"/>
  <c r="F19" i="18"/>
  <c r="I19" i="18" s="1"/>
  <c r="J19" i="18"/>
  <c r="L19" i="18" s="1"/>
  <c r="M19" i="18" s="1"/>
  <c r="F18" i="18"/>
  <c r="I18" i="18" s="1"/>
  <c r="O19" i="18"/>
  <c r="J20" i="18"/>
  <c r="L20" i="18" s="1"/>
  <c r="O18" i="18"/>
  <c r="F20" i="18"/>
  <c r="I20" i="18" s="1"/>
  <c r="O20" i="18"/>
  <c r="J18" i="18"/>
  <c r="L18" i="18" s="1"/>
  <c r="J21" i="18"/>
  <c r="L21" i="18" s="1"/>
  <c r="O19" i="19"/>
  <c r="F21" i="18"/>
  <c r="I21" i="18" s="1"/>
  <c r="J19" i="19"/>
  <c r="L19" i="19" s="1"/>
  <c r="F17" i="19"/>
  <c r="I17" i="19" s="1"/>
  <c r="J18" i="19"/>
  <c r="L18" i="19" s="1"/>
  <c r="J17" i="19"/>
  <c r="L17" i="19" s="1"/>
  <c r="F20" i="19"/>
  <c r="I20" i="19" s="1"/>
  <c r="J20" i="19"/>
  <c r="L20" i="19" s="1"/>
  <c r="O17" i="19"/>
  <c r="O18" i="19"/>
  <c r="F18" i="19"/>
  <c r="I18" i="19" s="1"/>
  <c r="O20" i="19"/>
  <c r="F19" i="19"/>
  <c r="I19" i="19" s="1"/>
  <c r="M19" i="19" s="1"/>
  <c r="F18" i="20"/>
  <c r="I18" i="20" s="1"/>
  <c r="F17" i="20"/>
  <c r="I17" i="20" s="1"/>
  <c r="O18" i="20"/>
  <c r="J17" i="20"/>
  <c r="L17" i="20" s="1"/>
  <c r="O17" i="20"/>
  <c r="O19" i="20"/>
  <c r="F19" i="20"/>
  <c r="I19" i="20" s="1"/>
  <c r="A21" i="20"/>
  <c r="B20" i="20"/>
  <c r="F20" i="20" s="1"/>
  <c r="I20" i="20" s="1"/>
  <c r="D20" i="20"/>
  <c r="J20" i="20" s="1"/>
  <c r="L20" i="20" s="1"/>
  <c r="O20" i="20"/>
  <c r="J19" i="20"/>
  <c r="L19" i="20" s="1"/>
  <c r="J18" i="20"/>
  <c r="L18" i="20" s="1"/>
  <c r="AB16" i="20"/>
  <c r="B21" i="19"/>
  <c r="F21" i="19" s="1"/>
  <c r="I21" i="19" s="1"/>
  <c r="A22" i="19"/>
  <c r="D21" i="19"/>
  <c r="J21" i="19" s="1"/>
  <c r="L21" i="19" s="1"/>
  <c r="O21" i="19"/>
  <c r="B22" i="18"/>
  <c r="D22" i="18"/>
  <c r="J22" i="18" s="1"/>
  <c r="L22" i="18" s="1"/>
  <c r="A23" i="18"/>
  <c r="AL23" i="18" s="1"/>
  <c r="O22" i="18"/>
  <c r="O21" i="15"/>
  <c r="D21" i="15"/>
  <c r="A22" i="15"/>
  <c r="B21" i="15"/>
  <c r="F21" i="15" s="1"/>
  <c r="J17" i="15" l="1"/>
  <c r="L17" i="15" s="1"/>
  <c r="J19" i="15"/>
  <c r="L19" i="15" s="1"/>
  <c r="J18" i="15"/>
  <c r="L18" i="15" s="1"/>
  <c r="J20" i="15"/>
  <c r="L20" i="15" s="1"/>
  <c r="O18" i="15"/>
  <c r="F20" i="15"/>
  <c r="I20" i="15" s="1"/>
  <c r="M20" i="15" s="1"/>
  <c r="F19" i="15"/>
  <c r="I19" i="15" s="1"/>
  <c r="O19" i="15"/>
  <c r="F18" i="15"/>
  <c r="I18" i="15" s="1"/>
  <c r="O20" i="15"/>
  <c r="F17" i="15"/>
  <c r="I17" i="15" s="1"/>
  <c r="M17" i="15" s="1"/>
  <c r="O17" i="15"/>
  <c r="M18" i="18"/>
  <c r="Q18" i="18" s="1"/>
  <c r="R18" i="18" s="1"/>
  <c r="O22" i="15"/>
  <c r="AL22" i="15"/>
  <c r="Q19" i="18"/>
  <c r="R19" i="18" s="1"/>
  <c r="S19" i="18" s="1"/>
  <c r="M20" i="18"/>
  <c r="Q20" i="18" s="1"/>
  <c r="R20" i="18" s="1"/>
  <c r="S20" i="18" s="1"/>
  <c r="M21" i="18"/>
  <c r="Q21" i="18" s="1"/>
  <c r="R21" i="18" s="1"/>
  <c r="S21" i="18" s="1"/>
  <c r="Q19" i="19"/>
  <c r="R19" i="19" s="1"/>
  <c r="S19" i="19" s="1"/>
  <c r="M17" i="19"/>
  <c r="S18" i="18"/>
  <c r="V18" i="18"/>
  <c r="Y18" i="18" s="1"/>
  <c r="F22" i="18"/>
  <c r="I22" i="18" s="1"/>
  <c r="Q17" i="19"/>
  <c r="R17" i="19" s="1"/>
  <c r="S17" i="19" s="1"/>
  <c r="M20" i="19"/>
  <c r="Q20" i="19" s="1"/>
  <c r="R20" i="19" s="1"/>
  <c r="V19" i="19"/>
  <c r="Y19" i="19" s="1"/>
  <c r="M18" i="19"/>
  <c r="Q18" i="19" s="1"/>
  <c r="R18" i="19" s="1"/>
  <c r="M20" i="20"/>
  <c r="Q20" i="20" s="1"/>
  <c r="R20" i="20" s="1"/>
  <c r="D21" i="20"/>
  <c r="J21" i="20" s="1"/>
  <c r="L21" i="20" s="1"/>
  <c r="A22" i="20"/>
  <c r="B21" i="20"/>
  <c r="F21" i="20" s="1"/>
  <c r="I21" i="20" s="1"/>
  <c r="O21" i="20"/>
  <c r="M19" i="20"/>
  <c r="Q19" i="20" s="1"/>
  <c r="R19" i="20" s="1"/>
  <c r="M17" i="20"/>
  <c r="Q17" i="20" s="1"/>
  <c r="R17" i="20" s="1"/>
  <c r="M18" i="20"/>
  <c r="Q18" i="20" s="1"/>
  <c r="R18" i="20" s="1"/>
  <c r="O22" i="19"/>
  <c r="D22" i="19"/>
  <c r="J22" i="19" s="1"/>
  <c r="L22" i="19" s="1"/>
  <c r="A23" i="19"/>
  <c r="B22" i="19"/>
  <c r="F22" i="19" s="1"/>
  <c r="I22" i="19" s="1"/>
  <c r="M21" i="19"/>
  <c r="Q21" i="19" s="1"/>
  <c r="R21" i="19" s="1"/>
  <c r="D23" i="18"/>
  <c r="J23" i="18" s="1"/>
  <c r="L23" i="18" s="1"/>
  <c r="O23" i="18"/>
  <c r="A24" i="18"/>
  <c r="AL24" i="18" s="1"/>
  <c r="B23" i="18"/>
  <c r="M22" i="18"/>
  <c r="Q22" i="18" s="1"/>
  <c r="R22" i="18" s="1"/>
  <c r="S22" i="18" s="1"/>
  <c r="J21" i="15"/>
  <c r="L21" i="15" s="1"/>
  <c r="I21" i="15"/>
  <c r="D22" i="15"/>
  <c r="A23" i="15"/>
  <c r="B22" i="15"/>
  <c r="F22" i="15" s="1"/>
  <c r="M19" i="15" l="1"/>
  <c r="Q19" i="15" s="1"/>
  <c r="R19" i="15" s="1"/>
  <c r="S19" i="15" s="1"/>
  <c r="Z19" i="15" s="1"/>
  <c r="AB19" i="15" s="1"/>
  <c r="Q20" i="15"/>
  <c r="R20" i="15" s="1"/>
  <c r="S20" i="15" s="1"/>
  <c r="Z20" i="15" s="1"/>
  <c r="AB20" i="15" s="1"/>
  <c r="AD20" i="15" s="1"/>
  <c r="Q17" i="15"/>
  <c r="R17" i="15" s="1"/>
  <c r="S17" i="15" s="1"/>
  <c r="Z17" i="15" s="1"/>
  <c r="AB17" i="15" s="1"/>
  <c r="AM17" i="15" s="1"/>
  <c r="M18" i="15"/>
  <c r="Q18" i="15" s="1"/>
  <c r="R18" i="15" s="1"/>
  <c r="S18" i="15" s="1"/>
  <c r="Z18" i="15" s="1"/>
  <c r="AB18" i="15" s="1"/>
  <c r="O23" i="15"/>
  <c r="AL23" i="15"/>
  <c r="V21" i="18"/>
  <c r="Y21" i="18" s="1"/>
  <c r="Z21" i="18" s="1"/>
  <c r="AB21" i="18" s="1"/>
  <c r="AD21" i="18" s="1"/>
  <c r="V19" i="18"/>
  <c r="Y19" i="18" s="1"/>
  <c r="Z19" i="18" s="1"/>
  <c r="AB19" i="18" s="1"/>
  <c r="V20" i="18"/>
  <c r="Y20" i="18" s="1"/>
  <c r="Z20" i="18" s="1"/>
  <c r="AB20" i="18" s="1"/>
  <c r="F23" i="18"/>
  <c r="I23" i="18" s="1"/>
  <c r="V22" i="18"/>
  <c r="Y22" i="18" s="1"/>
  <c r="Z22" i="18" s="1"/>
  <c r="AB22" i="18" s="1"/>
  <c r="Z18" i="18"/>
  <c r="AB18" i="18" s="1"/>
  <c r="V17" i="19"/>
  <c r="Y17" i="19" s="1"/>
  <c r="Z17" i="19" s="1"/>
  <c r="AB17" i="19" s="1"/>
  <c r="S20" i="19"/>
  <c r="V20" i="19"/>
  <c r="Y20" i="19" s="1"/>
  <c r="S18" i="19"/>
  <c r="V18" i="19"/>
  <c r="Y18" i="19" s="1"/>
  <c r="Z19" i="19"/>
  <c r="AB19" i="19" s="1"/>
  <c r="S21" i="19"/>
  <c r="V21" i="19"/>
  <c r="Y21" i="19" s="1"/>
  <c r="S17" i="20"/>
  <c r="V17" i="20"/>
  <c r="Y17" i="20" s="1"/>
  <c r="S18" i="20"/>
  <c r="V18" i="20"/>
  <c r="Y18" i="20" s="1"/>
  <c r="S20" i="20"/>
  <c r="V20" i="20"/>
  <c r="Y20" i="20" s="1"/>
  <c r="S19" i="20"/>
  <c r="V19" i="20"/>
  <c r="Y19" i="20" s="1"/>
  <c r="M21" i="20"/>
  <c r="Q21" i="20"/>
  <c r="R21" i="20" s="1"/>
  <c r="D22" i="20"/>
  <c r="J22" i="20" s="1"/>
  <c r="L22" i="20" s="1"/>
  <c r="A23" i="20"/>
  <c r="B22" i="20"/>
  <c r="F22" i="20" s="1"/>
  <c r="I22" i="20" s="1"/>
  <c r="O22" i="20"/>
  <c r="M22" i="19"/>
  <c r="Q22" i="19" s="1"/>
  <c r="R22" i="19" s="1"/>
  <c r="D23" i="19"/>
  <c r="J23" i="19" s="1"/>
  <c r="L23" i="19" s="1"/>
  <c r="A24" i="19"/>
  <c r="B23" i="19"/>
  <c r="F23" i="19" s="1"/>
  <c r="I23" i="19" s="1"/>
  <c r="O23" i="19"/>
  <c r="M23" i="18"/>
  <c r="Q23" i="18" s="1"/>
  <c r="R23" i="18" s="1"/>
  <c r="S23" i="18" s="1"/>
  <c r="O24" i="18"/>
  <c r="D24" i="18"/>
  <c r="J24" i="18" s="1"/>
  <c r="L24" i="18" s="1"/>
  <c r="A25" i="18"/>
  <c r="AL25" i="18" s="1"/>
  <c r="B24" i="18"/>
  <c r="M21" i="15"/>
  <c r="Q21" i="15" s="1"/>
  <c r="R21" i="15" s="1"/>
  <c r="S21" i="15" s="1"/>
  <c r="J22" i="15"/>
  <c r="L22" i="15" s="1"/>
  <c r="I22" i="15"/>
  <c r="D23" i="15"/>
  <c r="A24" i="15"/>
  <c r="B23" i="15"/>
  <c r="F23" i="15" s="1"/>
  <c r="AD17" i="15" l="1"/>
  <c r="AM20" i="15"/>
  <c r="AM19" i="15"/>
  <c r="E13" i="12" s="1"/>
  <c r="AD19" i="15"/>
  <c r="AD18" i="15"/>
  <c r="AM18" i="15"/>
  <c r="E12" i="12" s="1"/>
  <c r="AD17" i="19"/>
  <c r="AM17" i="19"/>
  <c r="F11" i="12" s="1"/>
  <c r="AD19" i="19"/>
  <c r="AM19" i="19"/>
  <c r="F13" i="12" s="1"/>
  <c r="O24" i="15"/>
  <c r="AL24" i="15"/>
  <c r="AM21" i="18"/>
  <c r="D14" i="12" s="1"/>
  <c r="AD20" i="18"/>
  <c r="AM20" i="18"/>
  <c r="D13" i="12" s="1"/>
  <c r="AD19" i="18"/>
  <c r="AM19" i="18"/>
  <c r="D12" i="12" s="1"/>
  <c r="AD18" i="18"/>
  <c r="AM18" i="18"/>
  <c r="D11" i="12" s="1"/>
  <c r="AD22" i="18"/>
  <c r="AM22" i="18"/>
  <c r="D15" i="12" s="1"/>
  <c r="V21" i="15"/>
  <c r="Y21" i="15" s="1"/>
  <c r="Z21" i="15" s="1"/>
  <c r="V23" i="18"/>
  <c r="Y23" i="18" s="1"/>
  <c r="Z23" i="18" s="1"/>
  <c r="AB23" i="18" s="1"/>
  <c r="F24" i="18"/>
  <c r="I24" i="18" s="1"/>
  <c r="M24" i="18" s="1"/>
  <c r="Q24" i="18" s="1"/>
  <c r="R24" i="18" s="1"/>
  <c r="S22" i="19"/>
  <c r="V22" i="19"/>
  <c r="Y22" i="19" s="1"/>
  <c r="Z21" i="19"/>
  <c r="AB21" i="19" s="1"/>
  <c r="Z18" i="19"/>
  <c r="AB18" i="19" s="1"/>
  <c r="Z20" i="19"/>
  <c r="AB20" i="19" s="1"/>
  <c r="S21" i="20"/>
  <c r="V21" i="20"/>
  <c r="Y21" i="20" s="1"/>
  <c r="Z17" i="20"/>
  <c r="AB17" i="20" s="1"/>
  <c r="AD17" i="20" s="1"/>
  <c r="Z19" i="20"/>
  <c r="AB19" i="20" s="1"/>
  <c r="AD19" i="20" s="1"/>
  <c r="Z20" i="20"/>
  <c r="AB20" i="20" s="1"/>
  <c r="AD20" i="20" s="1"/>
  <c r="Z18" i="20"/>
  <c r="AB18" i="20" s="1"/>
  <c r="AD18" i="20" s="1"/>
  <c r="M22" i="20"/>
  <c r="Q22" i="20" s="1"/>
  <c r="R22" i="20" s="1"/>
  <c r="D23" i="20"/>
  <c r="J23" i="20" s="1"/>
  <c r="L23" i="20" s="1"/>
  <c r="A24" i="20"/>
  <c r="B23" i="20"/>
  <c r="F23" i="20" s="1"/>
  <c r="I23" i="20" s="1"/>
  <c r="O23" i="20"/>
  <c r="M23" i="19"/>
  <c r="Q23" i="19" s="1"/>
  <c r="R23" i="19" s="1"/>
  <c r="D24" i="19"/>
  <c r="J24" i="19" s="1"/>
  <c r="L24" i="19" s="1"/>
  <c r="A25" i="19"/>
  <c r="B24" i="19"/>
  <c r="F24" i="19" s="1"/>
  <c r="I24" i="19" s="1"/>
  <c r="O24" i="19"/>
  <c r="D25" i="18"/>
  <c r="J25" i="18" s="1"/>
  <c r="L25" i="18" s="1"/>
  <c r="A26" i="18"/>
  <c r="AL26" i="18" s="1"/>
  <c r="B25" i="18"/>
  <c r="O25" i="18"/>
  <c r="J23" i="15"/>
  <c r="L23" i="15" s="1"/>
  <c r="M22" i="15"/>
  <c r="Q22" i="15" s="1"/>
  <c r="R22" i="15" s="1"/>
  <c r="S22" i="15" s="1"/>
  <c r="I23" i="15"/>
  <c r="D24" i="15"/>
  <c r="A25" i="15"/>
  <c r="B24" i="15"/>
  <c r="F24" i="15" s="1"/>
  <c r="AD21" i="19" l="1"/>
  <c r="AM21" i="19"/>
  <c r="F15" i="12" s="1"/>
  <c r="AD18" i="19"/>
  <c r="AM18" i="19"/>
  <c r="F12" i="12" s="1"/>
  <c r="AD20" i="19"/>
  <c r="AM20" i="19"/>
  <c r="F14" i="12" s="1"/>
  <c r="O25" i="15"/>
  <c r="AL25" i="15"/>
  <c r="AD23" i="18"/>
  <c r="AM23" i="18"/>
  <c r="D16" i="12" s="1"/>
  <c r="E14" i="12"/>
  <c r="V22" i="15"/>
  <c r="Y22" i="15" s="1"/>
  <c r="Z22" i="15" s="1"/>
  <c r="S24" i="18"/>
  <c r="V24" i="18"/>
  <c r="Y24" i="18" s="1"/>
  <c r="F25" i="18"/>
  <c r="I25" i="18" s="1"/>
  <c r="M25" i="18" s="1"/>
  <c r="Q25" i="18" s="1"/>
  <c r="R25" i="18" s="1"/>
  <c r="Z22" i="19"/>
  <c r="AB22" i="19" s="1"/>
  <c r="S23" i="19"/>
  <c r="V23" i="19"/>
  <c r="Y23" i="19" s="1"/>
  <c r="S22" i="20"/>
  <c r="V22" i="20"/>
  <c r="Y22" i="20" s="1"/>
  <c r="Z21" i="20"/>
  <c r="AB21" i="20" s="1"/>
  <c r="AD21" i="20" s="1"/>
  <c r="M23" i="20"/>
  <c r="Q23" i="20" s="1"/>
  <c r="R23" i="20" s="1"/>
  <c r="A25" i="20"/>
  <c r="B24" i="20"/>
  <c r="F24" i="20" s="1"/>
  <c r="I24" i="20" s="1"/>
  <c r="D24" i="20"/>
  <c r="J24" i="20" s="1"/>
  <c r="L24" i="20" s="1"/>
  <c r="O24" i="20"/>
  <c r="M24" i="19"/>
  <c r="Q24" i="19" s="1"/>
  <c r="R24" i="19" s="1"/>
  <c r="A26" i="19"/>
  <c r="B25" i="19"/>
  <c r="F25" i="19" s="1"/>
  <c r="I25" i="19" s="1"/>
  <c r="O25" i="19"/>
  <c r="D25" i="19"/>
  <c r="J25" i="19" s="1"/>
  <c r="L25" i="19" s="1"/>
  <c r="D26" i="18"/>
  <c r="J26" i="18" s="1"/>
  <c r="L26" i="18" s="1"/>
  <c r="A27" i="18"/>
  <c r="AL27" i="18" s="1"/>
  <c r="B26" i="18"/>
  <c r="O26" i="18"/>
  <c r="AB21" i="15"/>
  <c r="J24" i="15"/>
  <c r="L24" i="15" s="1"/>
  <c r="M23" i="15"/>
  <c r="Q23" i="15" s="1"/>
  <c r="R23" i="15" s="1"/>
  <c r="S23" i="15" s="1"/>
  <c r="I24" i="15"/>
  <c r="D25" i="15"/>
  <c r="A26" i="15"/>
  <c r="B25" i="15"/>
  <c r="F25" i="15" s="1"/>
  <c r="AD22" i="19" l="1"/>
  <c r="AM22" i="19"/>
  <c r="F16" i="12" s="1"/>
  <c r="O26" i="15"/>
  <c r="AL26" i="15"/>
  <c r="AD21" i="15"/>
  <c r="AM21" i="15"/>
  <c r="E15" i="12" s="1"/>
  <c r="E11" i="12"/>
  <c r="V23" i="15"/>
  <c r="Y23" i="15" s="1"/>
  <c r="Z23" i="15" s="1"/>
  <c r="S25" i="18"/>
  <c r="V25" i="18"/>
  <c r="Y25" i="18" s="1"/>
  <c r="F26" i="18"/>
  <c r="I26" i="18" s="1"/>
  <c r="M26" i="18" s="1"/>
  <c r="Q26" i="18" s="1"/>
  <c r="R26" i="18" s="1"/>
  <c r="S26" i="18" s="1"/>
  <c r="V26" i="18"/>
  <c r="Y26" i="18" s="1"/>
  <c r="Z24" i="18"/>
  <c r="AB24" i="18" s="1"/>
  <c r="Z23" i="19"/>
  <c r="AB23" i="19" s="1"/>
  <c r="M25" i="19"/>
  <c r="Q25" i="19" s="1"/>
  <c r="R25" i="19" s="1"/>
  <c r="S24" i="19"/>
  <c r="V24" i="19"/>
  <c r="Y24" i="19" s="1"/>
  <c r="S23" i="20"/>
  <c r="V23" i="20"/>
  <c r="Y23" i="20" s="1"/>
  <c r="Z22" i="20"/>
  <c r="AB22" i="20" s="1"/>
  <c r="AD22" i="20" s="1"/>
  <c r="O25" i="20"/>
  <c r="A26" i="20"/>
  <c r="D25" i="20"/>
  <c r="J25" i="20" s="1"/>
  <c r="L25" i="20" s="1"/>
  <c r="B25" i="20"/>
  <c r="F25" i="20" s="1"/>
  <c r="I25" i="20" s="1"/>
  <c r="M25" i="20" s="1"/>
  <c r="M24" i="20"/>
  <c r="Q24" i="20" s="1"/>
  <c r="R24" i="20" s="1"/>
  <c r="A27" i="19"/>
  <c r="B26" i="19"/>
  <c r="F26" i="19" s="1"/>
  <c r="I26" i="19" s="1"/>
  <c r="O26" i="19"/>
  <c r="D26" i="19"/>
  <c r="J26" i="19" s="1"/>
  <c r="L26" i="19" s="1"/>
  <c r="A28" i="18"/>
  <c r="AL28" i="18" s="1"/>
  <c r="B27" i="18"/>
  <c r="O27" i="18"/>
  <c r="D27" i="18"/>
  <c r="J27" i="18" s="1"/>
  <c r="L27" i="18" s="1"/>
  <c r="AB22" i="15"/>
  <c r="J25" i="15"/>
  <c r="L25" i="15" s="1"/>
  <c r="M24" i="15"/>
  <c r="Q24" i="15" s="1"/>
  <c r="R24" i="15" s="1"/>
  <c r="S24" i="15" s="1"/>
  <c r="I25" i="15"/>
  <c r="A27" i="15"/>
  <c r="B26" i="15"/>
  <c r="F26" i="15" s="1"/>
  <c r="D26" i="15"/>
  <c r="AD23" i="19" l="1"/>
  <c r="AM23" i="19"/>
  <c r="F17" i="12" s="1"/>
  <c r="O27" i="15"/>
  <c r="AL27" i="15"/>
  <c r="AD24" i="18"/>
  <c r="AM24" i="18"/>
  <c r="D17" i="12" s="1"/>
  <c r="AD22" i="15"/>
  <c r="AM22" i="15"/>
  <c r="E16" i="12" s="1"/>
  <c r="Q25" i="20"/>
  <c r="R25" i="20" s="1"/>
  <c r="V24" i="15"/>
  <c r="Y24" i="15" s="1"/>
  <c r="Z24" i="15" s="1"/>
  <c r="F27" i="18"/>
  <c r="I27" i="18" s="1"/>
  <c r="M27" i="18" s="1"/>
  <c r="Q27" i="18" s="1"/>
  <c r="R27" i="18" s="1"/>
  <c r="S27" i="18" s="1"/>
  <c r="Z26" i="18"/>
  <c r="AB26" i="18" s="1"/>
  <c r="Z25" i="18"/>
  <c r="AB25" i="18" s="1"/>
  <c r="M26" i="19"/>
  <c r="Q26" i="19" s="1"/>
  <c r="R26" i="19" s="1"/>
  <c r="S25" i="19"/>
  <c r="V25" i="19"/>
  <c r="Y25" i="19" s="1"/>
  <c r="Z24" i="19"/>
  <c r="AB24" i="19" s="1"/>
  <c r="S24" i="20"/>
  <c r="V24" i="20"/>
  <c r="Y24" i="20" s="1"/>
  <c r="S25" i="20"/>
  <c r="V25" i="20"/>
  <c r="Y25" i="20" s="1"/>
  <c r="Z23" i="20"/>
  <c r="AB23" i="20" s="1"/>
  <c r="AD23" i="20" s="1"/>
  <c r="B26" i="20"/>
  <c r="F26" i="20" s="1"/>
  <c r="I26" i="20" s="1"/>
  <c r="A27" i="20"/>
  <c r="O26" i="20"/>
  <c r="D26" i="20"/>
  <c r="J26" i="20" s="1"/>
  <c r="L26" i="20" s="1"/>
  <c r="D27" i="19"/>
  <c r="J27" i="19" s="1"/>
  <c r="L27" i="19" s="1"/>
  <c r="A28" i="19"/>
  <c r="B27" i="19"/>
  <c r="F27" i="19" s="1"/>
  <c r="I27" i="19" s="1"/>
  <c r="O27" i="19"/>
  <c r="O28" i="18"/>
  <c r="A29" i="18"/>
  <c r="AL29" i="18" s="1"/>
  <c r="B28" i="18"/>
  <c r="D28" i="18"/>
  <c r="J28" i="18" s="1"/>
  <c r="L28" i="18" s="1"/>
  <c r="AB23" i="15"/>
  <c r="J26" i="15"/>
  <c r="L26" i="15" s="1"/>
  <c r="M25" i="15"/>
  <c r="Q25" i="15" s="1"/>
  <c r="R25" i="15" s="1"/>
  <c r="S25" i="15" s="1"/>
  <c r="I26" i="15"/>
  <c r="D27" i="15"/>
  <c r="A28" i="15"/>
  <c r="B27" i="15"/>
  <c r="F27" i="15" s="1"/>
  <c r="AD24" i="19" l="1"/>
  <c r="AM24" i="19"/>
  <c r="F18" i="12" s="1"/>
  <c r="O28" i="15"/>
  <c r="AL28" i="15"/>
  <c r="AD26" i="18"/>
  <c r="AM26" i="18"/>
  <c r="D19" i="12" s="1"/>
  <c r="AD25" i="18"/>
  <c r="AM25" i="18"/>
  <c r="D18" i="12" s="1"/>
  <c r="AD23" i="15"/>
  <c r="AM23" i="15"/>
  <c r="E17" i="12" s="1"/>
  <c r="V25" i="15"/>
  <c r="Y25" i="15" s="1"/>
  <c r="Z25" i="15" s="1"/>
  <c r="V27" i="18"/>
  <c r="Y27" i="18" s="1"/>
  <c r="Z27" i="18" s="1"/>
  <c r="AB27" i="18" s="1"/>
  <c r="F28" i="18"/>
  <c r="I28" i="18" s="1"/>
  <c r="M28" i="18" s="1"/>
  <c r="Q28" i="18" s="1"/>
  <c r="R28" i="18" s="1"/>
  <c r="S28" i="18" s="1"/>
  <c r="Z25" i="19"/>
  <c r="AB25" i="19" s="1"/>
  <c r="S26" i="19"/>
  <c r="V26" i="19"/>
  <c r="Y26" i="19" s="1"/>
  <c r="Z24" i="20"/>
  <c r="AB24" i="20" s="1"/>
  <c r="AD24" i="20" s="1"/>
  <c r="Z25" i="20"/>
  <c r="AB25" i="20" s="1"/>
  <c r="AD25" i="20" s="1"/>
  <c r="M26" i="20"/>
  <c r="Q26" i="20" s="1"/>
  <c r="R26" i="20" s="1"/>
  <c r="D27" i="20"/>
  <c r="J27" i="20" s="1"/>
  <c r="L27" i="20" s="1"/>
  <c r="A28" i="20"/>
  <c r="B27" i="20"/>
  <c r="F27" i="20" s="1"/>
  <c r="I27" i="20" s="1"/>
  <c r="O27" i="20"/>
  <c r="D28" i="19"/>
  <c r="J28" i="19" s="1"/>
  <c r="L28" i="19" s="1"/>
  <c r="A29" i="19"/>
  <c r="B28" i="19"/>
  <c r="F28" i="19" s="1"/>
  <c r="I28" i="19" s="1"/>
  <c r="O28" i="19"/>
  <c r="M27" i="19"/>
  <c r="Q27" i="19" s="1"/>
  <c r="R27" i="19" s="1"/>
  <c r="D29" i="18"/>
  <c r="J29" i="18" s="1"/>
  <c r="L29" i="18" s="1"/>
  <c r="B29" i="18"/>
  <c r="A30" i="18"/>
  <c r="AL30" i="18" s="1"/>
  <c r="O29" i="18"/>
  <c r="AB24" i="15"/>
  <c r="M26" i="15"/>
  <c r="Q26" i="15" s="1"/>
  <c r="R26" i="15" s="1"/>
  <c r="S26" i="15" s="1"/>
  <c r="J27" i="15"/>
  <c r="L27" i="15" s="1"/>
  <c r="I27" i="15"/>
  <c r="D28" i="15"/>
  <c r="A29" i="15"/>
  <c r="B28" i="15"/>
  <c r="F28" i="15" s="1"/>
  <c r="AD25" i="19" l="1"/>
  <c r="AM25" i="19"/>
  <c r="F19" i="12" s="1"/>
  <c r="O29" i="15"/>
  <c r="AL29" i="15"/>
  <c r="V28" i="18"/>
  <c r="Y28" i="18" s="1"/>
  <c r="Z28" i="18" s="1"/>
  <c r="AB28" i="18" s="1"/>
  <c r="AD27" i="18"/>
  <c r="AM27" i="18"/>
  <c r="D20" i="12" s="1"/>
  <c r="AD24" i="15"/>
  <c r="AM24" i="15"/>
  <c r="E18" i="12" s="1"/>
  <c r="V26" i="15"/>
  <c r="Y26" i="15" s="1"/>
  <c r="Z26" i="15" s="1"/>
  <c r="F29" i="18"/>
  <c r="I29" i="18" s="1"/>
  <c r="M29" i="18" s="1"/>
  <c r="Q29" i="18" s="1"/>
  <c r="R29" i="18" s="1"/>
  <c r="S29" i="18" s="1"/>
  <c r="Z26" i="19"/>
  <c r="AB26" i="19" s="1"/>
  <c r="S27" i="19"/>
  <c r="V27" i="19"/>
  <c r="Y27" i="19" s="1"/>
  <c r="S26" i="20"/>
  <c r="V26" i="20"/>
  <c r="Y26" i="20" s="1"/>
  <c r="D28" i="20"/>
  <c r="J28" i="20" s="1"/>
  <c r="L28" i="20" s="1"/>
  <c r="A29" i="20"/>
  <c r="B28" i="20"/>
  <c r="F28" i="20" s="1"/>
  <c r="I28" i="20" s="1"/>
  <c r="O28" i="20"/>
  <c r="M27" i="20"/>
  <c r="Q27" i="20" s="1"/>
  <c r="R27" i="20" s="1"/>
  <c r="B29" i="19"/>
  <c r="F29" i="19" s="1"/>
  <c r="I29" i="19" s="1"/>
  <c r="D29" i="19"/>
  <c r="J29" i="19" s="1"/>
  <c r="L29" i="19" s="1"/>
  <c r="A30" i="19"/>
  <c r="O29" i="19"/>
  <c r="M28" i="19"/>
  <c r="Q28" i="19" s="1"/>
  <c r="R28" i="19" s="1"/>
  <c r="B30" i="18"/>
  <c r="D30" i="18"/>
  <c r="J30" i="18" s="1"/>
  <c r="L30" i="18" s="1"/>
  <c r="A31" i="18"/>
  <c r="AL31" i="18" s="1"/>
  <c r="O30" i="18"/>
  <c r="AB25" i="15"/>
  <c r="M27" i="15"/>
  <c r="Q27" i="15" s="1"/>
  <c r="R27" i="15" s="1"/>
  <c r="S27" i="15" s="1"/>
  <c r="J28" i="15"/>
  <c r="L28" i="15" s="1"/>
  <c r="I28" i="15"/>
  <c r="D29" i="15"/>
  <c r="A30" i="15"/>
  <c r="B29" i="15"/>
  <c r="F29" i="15" s="1"/>
  <c r="AD26" i="19" l="1"/>
  <c r="AM26" i="19"/>
  <c r="F20" i="12" s="1"/>
  <c r="O30" i="15"/>
  <c r="AL30" i="15"/>
  <c r="AD28" i="18"/>
  <c r="AM28" i="18"/>
  <c r="D21" i="12" s="1"/>
  <c r="AD25" i="15"/>
  <c r="AM25" i="15"/>
  <c r="E19" i="12" s="1"/>
  <c r="V27" i="15"/>
  <c r="Y27" i="15" s="1"/>
  <c r="Z27" i="15" s="1"/>
  <c r="V29" i="18"/>
  <c r="Y29" i="18" s="1"/>
  <c r="Z29" i="18" s="1"/>
  <c r="AB29" i="18" s="1"/>
  <c r="F30" i="18"/>
  <c r="I30" i="18" s="1"/>
  <c r="M30" i="18" s="1"/>
  <c r="Q30" i="18" s="1"/>
  <c r="R30" i="18" s="1"/>
  <c r="S30" i="18" s="1"/>
  <c r="Z27" i="19"/>
  <c r="AB27" i="19" s="1"/>
  <c r="S28" i="19"/>
  <c r="V28" i="19"/>
  <c r="Y28" i="19" s="1"/>
  <c r="S27" i="20"/>
  <c r="V27" i="20"/>
  <c r="Y27" i="20" s="1"/>
  <c r="Z26" i="20"/>
  <c r="AB26" i="20" s="1"/>
  <c r="AD26" i="20" s="1"/>
  <c r="D29" i="20"/>
  <c r="J29" i="20" s="1"/>
  <c r="L29" i="20" s="1"/>
  <c r="A30" i="20"/>
  <c r="B29" i="20"/>
  <c r="F29" i="20" s="1"/>
  <c r="I29" i="20" s="1"/>
  <c r="O29" i="20"/>
  <c r="M28" i="20"/>
  <c r="Q28" i="20" s="1"/>
  <c r="R28" i="20" s="1"/>
  <c r="M29" i="19"/>
  <c r="Q29" i="19" s="1"/>
  <c r="R29" i="19" s="1"/>
  <c r="O30" i="19"/>
  <c r="D30" i="19"/>
  <c r="J30" i="19" s="1"/>
  <c r="L30" i="19" s="1"/>
  <c r="A31" i="19"/>
  <c r="B30" i="19"/>
  <c r="F30" i="19" s="1"/>
  <c r="I30" i="19" s="1"/>
  <c r="O31" i="18"/>
  <c r="A32" i="18"/>
  <c r="AL32" i="18" s="1"/>
  <c r="B31" i="18"/>
  <c r="D31" i="18"/>
  <c r="J31" i="18" s="1"/>
  <c r="L31" i="18" s="1"/>
  <c r="AB26" i="15"/>
  <c r="M28" i="15"/>
  <c r="Q28" i="15" s="1"/>
  <c r="R28" i="15" s="1"/>
  <c r="S28" i="15" s="1"/>
  <c r="J29" i="15"/>
  <c r="L29" i="15" s="1"/>
  <c r="I29" i="15"/>
  <c r="D30" i="15"/>
  <c r="A31" i="15"/>
  <c r="B30" i="15"/>
  <c r="F30" i="15" s="1"/>
  <c r="AD27" i="19" l="1"/>
  <c r="AM27" i="19"/>
  <c r="F21" i="12" s="1"/>
  <c r="O31" i="15"/>
  <c r="AL31" i="15"/>
  <c r="AD29" i="18"/>
  <c r="AM29" i="18"/>
  <c r="D22" i="12" s="1"/>
  <c r="AD26" i="15"/>
  <c r="AM26" i="15"/>
  <c r="E20" i="12" s="1"/>
  <c r="V28" i="15"/>
  <c r="Y28" i="15" s="1"/>
  <c r="Z28" i="15" s="1"/>
  <c r="F31" i="18"/>
  <c r="I31" i="18" s="1"/>
  <c r="M31" i="18" s="1"/>
  <c r="Q31" i="18" s="1"/>
  <c r="R31" i="18" s="1"/>
  <c r="S31" i="18" s="1"/>
  <c r="V30" i="18"/>
  <c r="Y30" i="18" s="1"/>
  <c r="Z30" i="18" s="1"/>
  <c r="AB30" i="18" s="1"/>
  <c r="Z28" i="19"/>
  <c r="AB28" i="19" s="1"/>
  <c r="S29" i="19"/>
  <c r="V29" i="19"/>
  <c r="Y29" i="19" s="1"/>
  <c r="S28" i="20"/>
  <c r="V28" i="20"/>
  <c r="Y28" i="20" s="1"/>
  <c r="Z27" i="20"/>
  <c r="AB27" i="20" s="1"/>
  <c r="AD27" i="20" s="1"/>
  <c r="D30" i="20"/>
  <c r="J30" i="20" s="1"/>
  <c r="L30" i="20" s="1"/>
  <c r="A31" i="20"/>
  <c r="B30" i="20"/>
  <c r="F30" i="20" s="1"/>
  <c r="I30" i="20" s="1"/>
  <c r="M30" i="20" s="1"/>
  <c r="O30" i="20"/>
  <c r="M29" i="20"/>
  <c r="Q29" i="20" s="1"/>
  <c r="R29" i="20" s="1"/>
  <c r="M30" i="19"/>
  <c r="Q30" i="19" s="1"/>
  <c r="R30" i="19" s="1"/>
  <c r="D31" i="19"/>
  <c r="J31" i="19" s="1"/>
  <c r="L31" i="19" s="1"/>
  <c r="A32" i="19"/>
  <c r="B31" i="19"/>
  <c r="F31" i="19" s="1"/>
  <c r="I31" i="19" s="1"/>
  <c r="O31" i="19"/>
  <c r="O32" i="18"/>
  <c r="D32" i="18"/>
  <c r="J32" i="18" s="1"/>
  <c r="L32" i="18" s="1"/>
  <c r="A33" i="18"/>
  <c r="AL33" i="18" s="1"/>
  <c r="B32" i="18"/>
  <c r="AB27" i="15"/>
  <c r="M29" i="15"/>
  <c r="Q29" i="15" s="1"/>
  <c r="R29" i="15" s="1"/>
  <c r="S29" i="15" s="1"/>
  <c r="J30" i="15"/>
  <c r="L30" i="15" s="1"/>
  <c r="I30" i="15"/>
  <c r="D31" i="15"/>
  <c r="A32" i="15"/>
  <c r="B31" i="15"/>
  <c r="F31" i="15" s="1"/>
  <c r="AD28" i="19" l="1"/>
  <c r="AM28" i="19"/>
  <c r="F22" i="12" s="1"/>
  <c r="O32" i="15"/>
  <c r="AL32" i="15"/>
  <c r="AD30" i="18"/>
  <c r="AM30" i="18"/>
  <c r="D23" i="12" s="1"/>
  <c r="AD27" i="15"/>
  <c r="AM27" i="15"/>
  <c r="E21" i="12" s="1"/>
  <c r="V29" i="15"/>
  <c r="Y29" i="15" s="1"/>
  <c r="Z29" i="15" s="1"/>
  <c r="V31" i="18"/>
  <c r="Y31" i="18" s="1"/>
  <c r="Z31" i="18" s="1"/>
  <c r="AB31" i="18" s="1"/>
  <c r="F32" i="18"/>
  <c r="I32" i="18" s="1"/>
  <c r="M32" i="18" s="1"/>
  <c r="Q32" i="18" s="1"/>
  <c r="R32" i="18" s="1"/>
  <c r="Z29" i="19"/>
  <c r="AB29" i="19" s="1"/>
  <c r="S30" i="19"/>
  <c r="V30" i="19"/>
  <c r="Y30" i="19" s="1"/>
  <c r="S29" i="20"/>
  <c r="V29" i="20"/>
  <c r="Y29" i="20" s="1"/>
  <c r="Z28" i="20"/>
  <c r="AB28" i="20" s="1"/>
  <c r="AD28" i="20" s="1"/>
  <c r="Q30" i="20"/>
  <c r="R30" i="20" s="1"/>
  <c r="D31" i="20"/>
  <c r="J31" i="20" s="1"/>
  <c r="L31" i="20" s="1"/>
  <c r="A32" i="20"/>
  <c r="B31" i="20"/>
  <c r="F31" i="20" s="1"/>
  <c r="I31" i="20" s="1"/>
  <c r="M31" i="20" s="1"/>
  <c r="O31" i="20"/>
  <c r="M31" i="19"/>
  <c r="Q31" i="19" s="1"/>
  <c r="R31" i="19" s="1"/>
  <c r="D32" i="19"/>
  <c r="J32" i="19" s="1"/>
  <c r="L32" i="19" s="1"/>
  <c r="A33" i="19"/>
  <c r="B32" i="19"/>
  <c r="F32" i="19" s="1"/>
  <c r="I32" i="19" s="1"/>
  <c r="O32" i="19"/>
  <c r="D33" i="18"/>
  <c r="J33" i="18" s="1"/>
  <c r="L33" i="18" s="1"/>
  <c r="A34" i="18"/>
  <c r="AL34" i="18" s="1"/>
  <c r="B33" i="18"/>
  <c r="O33" i="18"/>
  <c r="AB28" i="15"/>
  <c r="M30" i="15"/>
  <c r="Q30" i="15" s="1"/>
  <c r="R30" i="15" s="1"/>
  <c r="S30" i="15" s="1"/>
  <c r="J31" i="15"/>
  <c r="L31" i="15" s="1"/>
  <c r="I31" i="15"/>
  <c r="D32" i="15"/>
  <c r="A33" i="15"/>
  <c r="B32" i="15"/>
  <c r="F32" i="15" s="1"/>
  <c r="AD29" i="19" l="1"/>
  <c r="AM29" i="19"/>
  <c r="F23" i="12" s="1"/>
  <c r="O33" i="15"/>
  <c r="AL33" i="15"/>
  <c r="AD31" i="18"/>
  <c r="AM31" i="18"/>
  <c r="D24" i="12" s="1"/>
  <c r="V30" i="15"/>
  <c r="Y30" i="15" s="1"/>
  <c r="Z30" i="15" s="1"/>
  <c r="AB30" i="15" s="1"/>
  <c r="AM30" i="15" s="1"/>
  <c r="E24" i="12" s="1"/>
  <c r="AD28" i="15"/>
  <c r="AM28" i="15"/>
  <c r="E22" i="12" s="1"/>
  <c r="S32" i="18"/>
  <c r="V32" i="18"/>
  <c r="Y32" i="18" s="1"/>
  <c r="F33" i="18"/>
  <c r="I33" i="18" s="1"/>
  <c r="M33" i="18" s="1"/>
  <c r="Q33" i="18" s="1"/>
  <c r="R33" i="18" s="1"/>
  <c r="Z30" i="19"/>
  <c r="AB30" i="19" s="1"/>
  <c r="S31" i="19"/>
  <c r="V31" i="19"/>
  <c r="Y31" i="19" s="1"/>
  <c r="S30" i="20"/>
  <c r="V30" i="20"/>
  <c r="Y30" i="20" s="1"/>
  <c r="Z29" i="20"/>
  <c r="AB29" i="20" s="1"/>
  <c r="AD29" i="20" s="1"/>
  <c r="M32" i="19"/>
  <c r="Q32" i="19" s="1"/>
  <c r="R32" i="19" s="1"/>
  <c r="Q31" i="20"/>
  <c r="R31" i="20" s="1"/>
  <c r="A33" i="20"/>
  <c r="B32" i="20"/>
  <c r="F32" i="20" s="1"/>
  <c r="I32" i="20" s="1"/>
  <c r="O32" i="20"/>
  <c r="D32" i="20"/>
  <c r="J32" i="20" s="1"/>
  <c r="L32" i="20" s="1"/>
  <c r="D33" i="19"/>
  <c r="J33" i="19" s="1"/>
  <c r="L33" i="19" s="1"/>
  <c r="A34" i="19"/>
  <c r="B33" i="19"/>
  <c r="F33" i="19" s="1"/>
  <c r="I33" i="19" s="1"/>
  <c r="O33" i="19"/>
  <c r="D34" i="18"/>
  <c r="J34" i="18" s="1"/>
  <c r="L34" i="18" s="1"/>
  <c r="A35" i="18"/>
  <c r="AL35" i="18" s="1"/>
  <c r="B34" i="18"/>
  <c r="O34" i="18"/>
  <c r="AB29" i="15"/>
  <c r="M31" i="15"/>
  <c r="Q31" i="15" s="1"/>
  <c r="R31" i="15" s="1"/>
  <c r="S31" i="15" s="1"/>
  <c r="J32" i="15"/>
  <c r="L32" i="15" s="1"/>
  <c r="I32" i="15"/>
  <c r="D33" i="15"/>
  <c r="A34" i="15"/>
  <c r="B33" i="15"/>
  <c r="F33" i="15" s="1"/>
  <c r="AD30" i="19" l="1"/>
  <c r="AM30" i="19"/>
  <c r="F24" i="12" s="1"/>
  <c r="O34" i="15"/>
  <c r="AL34" i="15"/>
  <c r="V31" i="15"/>
  <c r="Y31" i="15" s="1"/>
  <c r="Z31" i="15" s="1"/>
  <c r="AD29" i="15"/>
  <c r="AM29" i="15"/>
  <c r="E23" i="12" s="1"/>
  <c r="S33" i="18"/>
  <c r="V33" i="18"/>
  <c r="Y33" i="18" s="1"/>
  <c r="F34" i="18"/>
  <c r="I34" i="18" s="1"/>
  <c r="M34" i="18" s="1"/>
  <c r="Q34" i="18" s="1"/>
  <c r="R34" i="18" s="1"/>
  <c r="S34" i="18" s="1"/>
  <c r="Z32" i="18"/>
  <c r="AB32" i="18" s="1"/>
  <c r="S32" i="19"/>
  <c r="V32" i="19"/>
  <c r="Y32" i="19" s="1"/>
  <c r="Z31" i="19"/>
  <c r="AB31" i="19" s="1"/>
  <c r="S31" i="20"/>
  <c r="V31" i="20"/>
  <c r="Y31" i="20" s="1"/>
  <c r="Z30" i="20"/>
  <c r="AB30" i="20" s="1"/>
  <c r="AD30" i="20" s="1"/>
  <c r="M32" i="20"/>
  <c r="Q32" i="20" s="1"/>
  <c r="R32" i="20" s="1"/>
  <c r="O33" i="20"/>
  <c r="D33" i="20"/>
  <c r="J33" i="20" s="1"/>
  <c r="L33" i="20" s="1"/>
  <c r="A34" i="20"/>
  <c r="B33" i="20"/>
  <c r="F33" i="20" s="1"/>
  <c r="I33" i="20" s="1"/>
  <c r="M33" i="20" s="1"/>
  <c r="A35" i="19"/>
  <c r="B34" i="19"/>
  <c r="F34" i="19" s="1"/>
  <c r="I34" i="19" s="1"/>
  <c r="O34" i="19"/>
  <c r="D34" i="19"/>
  <c r="J34" i="19" s="1"/>
  <c r="L34" i="19" s="1"/>
  <c r="M33" i="19"/>
  <c r="Q33" i="19" s="1"/>
  <c r="R33" i="19" s="1"/>
  <c r="A36" i="18"/>
  <c r="AL36" i="18" s="1"/>
  <c r="B35" i="18"/>
  <c r="O35" i="18"/>
  <c r="D35" i="18"/>
  <c r="J35" i="18" s="1"/>
  <c r="L35" i="18" s="1"/>
  <c r="M32" i="15"/>
  <c r="Q32" i="15" s="1"/>
  <c r="R32" i="15" s="1"/>
  <c r="S32" i="15" s="1"/>
  <c r="J33" i="15"/>
  <c r="L33" i="15" s="1"/>
  <c r="AD30" i="15"/>
  <c r="I33" i="15"/>
  <c r="A35" i="15"/>
  <c r="B34" i="15"/>
  <c r="F34" i="15" s="1"/>
  <c r="D34" i="15"/>
  <c r="AD31" i="19" l="1"/>
  <c r="AM31" i="19"/>
  <c r="F25" i="12" s="1"/>
  <c r="O35" i="15"/>
  <c r="AL35" i="15"/>
  <c r="V32" i="15"/>
  <c r="Y32" i="15" s="1"/>
  <c r="Z32" i="15" s="1"/>
  <c r="AB32" i="15" s="1"/>
  <c r="AD32" i="18"/>
  <c r="AM32" i="18"/>
  <c r="D25" i="12" s="1"/>
  <c r="V34" i="18"/>
  <c r="Y34" i="18" s="1"/>
  <c r="Z34" i="18" s="1"/>
  <c r="AB34" i="18" s="1"/>
  <c r="F35" i="18"/>
  <c r="I35" i="18" s="1"/>
  <c r="M35" i="18" s="1"/>
  <c r="Q35" i="18" s="1"/>
  <c r="R35" i="18" s="1"/>
  <c r="S35" i="18" s="1"/>
  <c r="Z33" i="18"/>
  <c r="AB33" i="18" s="1"/>
  <c r="Z32" i="19"/>
  <c r="AB32" i="19" s="1"/>
  <c r="S33" i="19"/>
  <c r="V33" i="19"/>
  <c r="Y33" i="19" s="1"/>
  <c r="S32" i="20"/>
  <c r="V32" i="20"/>
  <c r="Y32" i="20" s="1"/>
  <c r="Z31" i="20"/>
  <c r="AB31" i="20" s="1"/>
  <c r="AD31" i="20" s="1"/>
  <c r="Q33" i="20"/>
  <c r="R33" i="20" s="1"/>
  <c r="B34" i="20"/>
  <c r="F34" i="20" s="1"/>
  <c r="I34" i="20" s="1"/>
  <c r="O34" i="20"/>
  <c r="D34" i="20"/>
  <c r="J34" i="20" s="1"/>
  <c r="L34" i="20" s="1"/>
  <c r="A35" i="20"/>
  <c r="M34" i="19"/>
  <c r="Q34" i="19" s="1"/>
  <c r="R34" i="19" s="1"/>
  <c r="O35" i="19"/>
  <c r="D35" i="19"/>
  <c r="J35" i="19" s="1"/>
  <c r="L35" i="19" s="1"/>
  <c r="B35" i="19"/>
  <c r="F35" i="19" s="1"/>
  <c r="I35" i="19" s="1"/>
  <c r="M35" i="19" s="1"/>
  <c r="O36" i="18"/>
  <c r="D36" i="18"/>
  <c r="J36" i="18" s="1"/>
  <c r="L36" i="18" s="1"/>
  <c r="B36" i="18"/>
  <c r="AB31" i="15"/>
  <c r="M33" i="15"/>
  <c r="Q33" i="15" s="1"/>
  <c r="R33" i="15" s="1"/>
  <c r="S33" i="15" s="1"/>
  <c r="J34" i="15"/>
  <c r="L34" i="15" s="1"/>
  <c r="I34" i="15"/>
  <c r="D35" i="15"/>
  <c r="B35" i="15"/>
  <c r="F35" i="15" s="1"/>
  <c r="AD32" i="19" l="1"/>
  <c r="AM32" i="19"/>
  <c r="F26" i="12" s="1"/>
  <c r="AD34" i="18"/>
  <c r="AM34" i="18"/>
  <c r="D27" i="12" s="1"/>
  <c r="AD33" i="18"/>
  <c r="AM33" i="18"/>
  <c r="D26" i="12" s="1"/>
  <c r="V33" i="15"/>
  <c r="Y33" i="15" s="1"/>
  <c r="Z33" i="15" s="1"/>
  <c r="AB33" i="15" s="1"/>
  <c r="AM33" i="15" s="1"/>
  <c r="E27" i="12" s="1"/>
  <c r="AD32" i="15"/>
  <c r="AM32" i="15"/>
  <c r="E26" i="12" s="1"/>
  <c r="AD31" i="15"/>
  <c r="AM31" i="15"/>
  <c r="E25" i="12" s="1"/>
  <c r="V35" i="18"/>
  <c r="Y35" i="18" s="1"/>
  <c r="Z35" i="18" s="1"/>
  <c r="AB35" i="18" s="1"/>
  <c r="F36" i="18"/>
  <c r="I36" i="18" s="1"/>
  <c r="M36" i="18" s="1"/>
  <c r="Q36" i="18" s="1"/>
  <c r="R36" i="18" s="1"/>
  <c r="S36" i="18" s="1"/>
  <c r="S34" i="19"/>
  <c r="V34" i="19"/>
  <c r="Y34" i="19" s="1"/>
  <c r="Z33" i="19"/>
  <c r="AB33" i="19" s="1"/>
  <c r="S33" i="20"/>
  <c r="V33" i="20"/>
  <c r="Y33" i="20" s="1"/>
  <c r="Z32" i="20"/>
  <c r="AB32" i="20" s="1"/>
  <c r="AD32" i="20" s="1"/>
  <c r="M34" i="20"/>
  <c r="Q34" i="20" s="1"/>
  <c r="R34" i="20" s="1"/>
  <c r="Q35" i="19"/>
  <c r="R35" i="19" s="1"/>
  <c r="O35" i="20"/>
  <c r="D35" i="20"/>
  <c r="J35" i="20" s="1"/>
  <c r="L35" i="20" s="1"/>
  <c r="B35" i="20"/>
  <c r="F35" i="20" s="1"/>
  <c r="I35" i="20" s="1"/>
  <c r="M35" i="20" s="1"/>
  <c r="Q35" i="20" s="1"/>
  <c r="R35" i="20" s="1"/>
  <c r="M34" i="15"/>
  <c r="Q34" i="15" s="1"/>
  <c r="R34" i="15" s="1"/>
  <c r="S34" i="15" s="1"/>
  <c r="J35" i="15"/>
  <c r="L35" i="15" s="1"/>
  <c r="I35" i="15"/>
  <c r="AD33" i="19" l="1"/>
  <c r="AM33" i="19"/>
  <c r="F27" i="12" s="1"/>
  <c r="AD35" i="18"/>
  <c r="AM35" i="18"/>
  <c r="D28" i="12" s="1"/>
  <c r="V34" i="15"/>
  <c r="Y34" i="15" s="1"/>
  <c r="Z34" i="15" s="1"/>
  <c r="AB34" i="15" s="1"/>
  <c r="V36" i="18"/>
  <c r="Y36" i="18" s="1"/>
  <c r="Z36" i="18" s="1"/>
  <c r="AB36" i="18" s="1"/>
  <c r="S35" i="19"/>
  <c r="V35" i="19"/>
  <c r="Y35" i="19" s="1"/>
  <c r="Z34" i="19"/>
  <c r="AB34" i="19" s="1"/>
  <c r="S34" i="20"/>
  <c r="V34" i="20"/>
  <c r="Y34" i="20" s="1"/>
  <c r="S35" i="20"/>
  <c r="V35" i="20"/>
  <c r="Y35" i="20" s="1"/>
  <c r="Z33" i="20"/>
  <c r="AB33" i="20" s="1"/>
  <c r="AD33" i="20" s="1"/>
  <c r="M35" i="15"/>
  <c r="Q35" i="15" s="1"/>
  <c r="R35" i="15" s="1"/>
  <c r="S35" i="15" s="1"/>
  <c r="AD33" i="15"/>
  <c r="AD34" i="19" l="1"/>
  <c r="AM34" i="19"/>
  <c r="F28" i="12" s="1"/>
  <c r="AD36" i="18"/>
  <c r="AM36" i="18"/>
  <c r="D29" i="12" s="1"/>
  <c r="AD34" i="15"/>
  <c r="AM34" i="15"/>
  <c r="E28" i="12" s="1"/>
  <c r="V35" i="15"/>
  <c r="Y35" i="15" s="1"/>
  <c r="Z35" i="15" s="1"/>
  <c r="AB35" i="15" s="1"/>
  <c r="AM35" i="15" s="1"/>
  <c r="E29" i="12" s="1"/>
  <c r="Z35" i="19"/>
  <c r="AB35" i="19" s="1"/>
  <c r="Z35" i="20"/>
  <c r="AB35" i="20" s="1"/>
  <c r="AD35" i="20" s="1"/>
  <c r="Z34" i="20"/>
  <c r="AB34" i="20" s="1"/>
  <c r="AD34" i="20" s="1"/>
  <c r="F14" i="14"/>
  <c r="C18" i="14"/>
  <c r="F13" i="14" s="1"/>
  <c r="F17" i="14" s="1"/>
  <c r="AD35" i="19" l="1"/>
  <c r="AM35" i="19"/>
  <c r="F29" i="12" s="1"/>
  <c r="AD35" i="15"/>
</calcChain>
</file>

<file path=xl/sharedStrings.xml><?xml version="1.0" encoding="utf-8"?>
<sst xmlns="http://schemas.openxmlformats.org/spreadsheetml/2006/main" count="473" uniqueCount="143">
  <si>
    <r>
      <t>ΔU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+ ΔU</t>
    </r>
    <r>
      <rPr>
        <vertAlign val="subscript"/>
        <sz val="11"/>
        <rFont val="Calibri"/>
        <family val="2"/>
        <scheme val="minor"/>
      </rPr>
      <t>fa</t>
    </r>
    <r>
      <rPr>
        <sz val="11"/>
        <rFont val="Calibri"/>
        <family val="2"/>
        <scheme val="minor"/>
      </rPr>
      <t xml:space="preserve"> + ΔU</t>
    </r>
    <r>
      <rPr>
        <vertAlign val="subscript"/>
        <sz val="11"/>
        <rFont val="Calibri"/>
        <family val="2"/>
        <scheme val="minor"/>
      </rPr>
      <t>r</t>
    </r>
  </si>
  <si>
    <t xml:space="preserve">ΔU </t>
  </si>
  <si>
    <r>
      <t>U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ƒ</t>
    </r>
    <r>
      <rPr>
        <vertAlign val="subscript"/>
        <sz val="11"/>
        <rFont val="Calibri"/>
        <family val="2"/>
        <scheme val="minor"/>
      </rPr>
      <t>prac</t>
    </r>
    <r>
      <rPr>
        <sz val="11"/>
        <rFont val="Calibri"/>
        <family val="2"/>
        <scheme val="minor"/>
      </rPr>
      <t xml:space="preserve"> + ΔU</t>
    </r>
  </si>
  <si>
    <t>d / λ</t>
  </si>
  <si>
    <t>TOETSING AAN CRITERIUM</t>
  </si>
  <si>
    <r>
      <t>n</t>
    </r>
    <r>
      <rPr>
        <vertAlign val="subscript"/>
        <sz val="11"/>
        <color theme="1"/>
        <rFont val="Calibri"/>
        <family val="2"/>
        <scheme val="minor"/>
      </rPr>
      <t>fa</t>
    </r>
    <r>
      <rPr>
        <sz val="11"/>
        <color theme="1"/>
        <rFont val="Calibri"/>
        <family val="2"/>
        <scheme val="minor"/>
      </rPr>
      <t xml:space="preserve"> =</t>
    </r>
  </si>
  <si>
    <r>
      <t>λ</t>
    </r>
    <r>
      <rPr>
        <vertAlign val="subscript"/>
        <sz val="11"/>
        <rFont val="Calibri"/>
        <family val="2"/>
        <scheme val="minor"/>
      </rPr>
      <t>fa</t>
    </r>
    <r>
      <rPr>
        <sz val="11"/>
        <rFont val="Calibri"/>
        <family val="2"/>
        <scheme val="minor"/>
      </rPr>
      <t xml:space="preserve"> =</t>
    </r>
  </si>
  <si>
    <r>
      <t>ø</t>
    </r>
    <r>
      <rPr>
        <vertAlign val="subscript"/>
        <sz val="11"/>
        <rFont val="Calibri"/>
        <family val="2"/>
        <scheme val="minor"/>
      </rPr>
      <t>fa</t>
    </r>
    <r>
      <rPr>
        <sz val="1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</si>
  <si>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rFont val="Calibri"/>
        <family val="2"/>
        <scheme val="minor"/>
      </rPr>
      <t>si</t>
    </r>
    <r>
      <rPr>
        <sz val="11"/>
        <rFont val="Calibri"/>
        <family val="2"/>
        <scheme val="minor"/>
      </rPr>
      <t xml:space="preserve"> =</t>
    </r>
  </si>
  <si>
    <r>
      <t>1 / R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bscript"/>
        <sz val="11"/>
        <rFont val="Calibri"/>
        <family val="2"/>
        <scheme val="minor"/>
      </rPr>
      <t>;sectie a</t>
    </r>
  </si>
  <si>
    <r>
      <t>R</t>
    </r>
    <r>
      <rPr>
        <vertAlign val="subscript"/>
        <sz val="11"/>
        <rFont val="Calibri"/>
        <family val="2"/>
        <scheme val="minor"/>
      </rPr>
      <t>se</t>
    </r>
    <r>
      <rPr>
        <sz val="11"/>
        <rFont val="Calibri"/>
        <family val="2"/>
        <scheme val="minor"/>
      </rPr>
      <t>=</t>
    </r>
  </si>
  <si>
    <r>
      <t>λ</t>
    </r>
    <r>
      <rPr>
        <vertAlign val="subscript"/>
        <sz val="11"/>
        <rFont val="Calibri"/>
        <family val="2"/>
        <scheme val="minor"/>
      </rPr>
      <t>iso</t>
    </r>
    <r>
      <rPr>
        <sz val="11"/>
        <rFont val="Calibri"/>
        <family val="2"/>
        <scheme val="minor"/>
      </rPr>
      <t xml:space="preserve"> =</t>
    </r>
  </si>
  <si>
    <r>
      <t>λ</t>
    </r>
    <r>
      <rPr>
        <vertAlign val="subscript"/>
        <sz val="11"/>
        <rFont val="Calibri"/>
        <family val="2"/>
        <scheme val="minor"/>
      </rPr>
      <t>hout</t>
    </r>
    <r>
      <rPr>
        <sz val="11"/>
        <rFont val="Calibri"/>
        <family val="2"/>
        <scheme val="minor"/>
      </rPr>
      <t xml:space="preserve"> =</t>
    </r>
  </si>
  <si>
    <r>
      <t>U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bscript"/>
        <sz val="11"/>
        <rFont val="Calibri"/>
        <family val="2"/>
        <scheme val="minor"/>
      </rPr>
      <t>;sectie a</t>
    </r>
    <r>
      <rPr>
        <sz val="11"/>
        <rFont val="Calibri"/>
        <family val="2"/>
        <scheme val="minor"/>
      </rPr>
      <t xml:space="preserve"> +</t>
    </r>
  </si>
  <si>
    <r>
      <t>U</t>
    </r>
    <r>
      <rPr>
        <vertAlign val="subscript"/>
        <sz val="11"/>
        <rFont val="Calibri"/>
        <family val="2"/>
        <scheme val="minor"/>
      </rPr>
      <t>T;sectie b</t>
    </r>
  </si>
  <si>
    <r>
      <t>R</t>
    </r>
    <r>
      <rPr>
        <vertAlign val="subscript"/>
        <sz val="11"/>
        <color theme="1"/>
        <rFont val="Calibri"/>
        <family val="2"/>
        <scheme val="minor"/>
      </rPr>
      <t>D;hout</t>
    </r>
    <r>
      <rPr>
        <sz val="11"/>
        <color theme="1"/>
        <rFont val="Calibri"/>
        <family val="2"/>
        <scheme val="minor"/>
      </rPr>
      <t xml:space="preserve"> + R</t>
    </r>
    <r>
      <rPr>
        <vertAlign val="subscript"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+ R</t>
    </r>
    <r>
      <rPr>
        <vertAlign val="subscript"/>
        <sz val="11"/>
        <color theme="1"/>
        <rFont val="Calibri"/>
        <family val="2"/>
        <scheme val="minor"/>
      </rPr>
      <t>si</t>
    </r>
  </si>
  <si>
    <t>b =</t>
  </si>
  <si>
    <t>a =</t>
  </si>
  <si>
    <t>λ'' =</t>
  </si>
  <si>
    <r>
      <t>λ</t>
    </r>
    <r>
      <rPr>
        <vertAlign val="subscript"/>
        <sz val="11"/>
        <rFont val="Calibri"/>
        <family val="2"/>
        <scheme val="minor"/>
      </rPr>
      <t>iso</t>
    </r>
    <r>
      <rPr>
        <sz val="11"/>
        <rFont val="Calibri"/>
        <family val="2"/>
        <scheme val="minor"/>
      </rPr>
      <t xml:space="preserve"> +</t>
    </r>
  </si>
  <si>
    <r>
      <t>λ</t>
    </r>
    <r>
      <rPr>
        <vertAlign val="subscript"/>
        <sz val="11"/>
        <rFont val="Calibri"/>
        <family val="2"/>
        <scheme val="minor"/>
      </rPr>
      <t>hout</t>
    </r>
  </si>
  <si>
    <t>a'</t>
  </si>
  <si>
    <r>
      <t>α</t>
    </r>
    <r>
      <rPr>
        <vertAlign val="subscript"/>
        <sz val="11"/>
        <rFont val="Calibri"/>
        <family val="2"/>
        <scheme val="minor"/>
      </rPr>
      <t>fa</t>
    </r>
    <r>
      <rPr>
        <sz val="11"/>
        <rFont val="Calibri"/>
        <family val="2"/>
        <scheme val="minor"/>
      </rPr>
      <t xml:space="preserve"> x (R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/ R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)²</t>
    </r>
  </si>
  <si>
    <r>
      <t>1/R</t>
    </r>
    <r>
      <rPr>
        <vertAlign val="subscript"/>
        <sz val="10"/>
        <rFont val="Calibri"/>
        <family val="2"/>
      </rPr>
      <t>T</t>
    </r>
  </si>
  <si>
    <t>convectie n.v.t.</t>
  </si>
  <si>
    <t>omgekeerd dak n.v.t.</t>
  </si>
  <si>
    <r>
      <t>α</t>
    </r>
    <r>
      <rPr>
        <vertAlign val="subscript"/>
        <sz val="9"/>
        <rFont val="Calibri"/>
        <family val="2"/>
        <scheme val="minor"/>
      </rPr>
      <t>fa</t>
    </r>
    <r>
      <rPr>
        <sz val="9"/>
        <rFont val="Calibri"/>
        <family val="2"/>
        <scheme val="minor"/>
      </rPr>
      <t xml:space="preserve"> = (0,8 x d</t>
    </r>
    <r>
      <rPr>
        <vertAlign val="subscript"/>
        <sz val="9"/>
        <rFont val="Calibri"/>
        <family val="2"/>
        <scheme val="minor"/>
      </rPr>
      <t>fa</t>
    </r>
    <r>
      <rPr>
        <sz val="9"/>
        <rFont val="Calibri"/>
        <family val="2"/>
        <scheme val="minor"/>
      </rPr>
      <t xml:space="preserve"> / d</t>
    </r>
    <r>
      <rPr>
        <vertAlign val="subscript"/>
        <sz val="9"/>
        <rFont val="Calibri"/>
        <family val="2"/>
        <scheme val="minor"/>
      </rPr>
      <t>iso</t>
    </r>
    <r>
      <rPr>
        <sz val="9"/>
        <rFont val="Calibri"/>
        <family val="2"/>
        <scheme val="minor"/>
      </rPr>
      <t>) x ((n</t>
    </r>
    <r>
      <rPr>
        <vertAlign val="subscript"/>
        <sz val="9"/>
        <rFont val="Calibri"/>
        <family val="2"/>
        <scheme val="minor"/>
      </rPr>
      <t>fa</t>
    </r>
    <r>
      <rPr>
        <sz val="9"/>
        <rFont val="Calibri"/>
        <family val="2"/>
        <scheme val="minor"/>
      </rPr>
      <t xml:space="preserve"> x λ</t>
    </r>
    <r>
      <rPr>
        <vertAlign val="subscript"/>
        <sz val="9"/>
        <rFont val="Calibri"/>
        <family val="2"/>
        <scheme val="minor"/>
      </rPr>
      <t>fa</t>
    </r>
    <r>
      <rPr>
        <sz val="9"/>
        <rFont val="Calibri"/>
        <family val="2"/>
        <scheme val="minor"/>
      </rPr>
      <t xml:space="preserve"> x A</t>
    </r>
    <r>
      <rPr>
        <vertAlign val="subscript"/>
        <sz val="9"/>
        <rFont val="Calibri"/>
        <family val="2"/>
        <scheme val="minor"/>
      </rPr>
      <t>fa</t>
    </r>
    <r>
      <rPr>
        <sz val="9"/>
        <rFont val="Calibri"/>
        <family val="2"/>
        <scheme val="minor"/>
      </rPr>
      <t>) / d</t>
    </r>
    <r>
      <rPr>
        <vertAlign val="subscript"/>
        <sz val="9"/>
        <rFont val="Calibri"/>
        <family val="2"/>
        <scheme val="minor"/>
      </rPr>
      <t>iso</t>
    </r>
    <r>
      <rPr>
        <sz val="9"/>
        <rFont val="Calibri"/>
        <family val="2"/>
        <scheme val="minor"/>
      </rPr>
      <t>)</t>
    </r>
  </si>
  <si>
    <r>
      <t>R</t>
    </r>
    <r>
      <rPr>
        <vertAlign val="subscript"/>
        <sz val="11"/>
        <color theme="0"/>
        <rFont val="Calibri"/>
        <family val="2"/>
        <scheme val="minor"/>
      </rPr>
      <t>D;isolatie</t>
    </r>
  </si>
  <si>
    <r>
      <t>R</t>
    </r>
    <r>
      <rPr>
        <vertAlign val="subscript"/>
        <sz val="11"/>
        <color theme="0"/>
        <rFont val="Calibri"/>
        <family val="2"/>
        <scheme val="minor"/>
      </rPr>
      <t>D;hout</t>
    </r>
  </si>
  <si>
    <r>
      <t>R</t>
    </r>
    <r>
      <rPr>
        <vertAlign val="subscript"/>
        <sz val="11"/>
        <color theme="0"/>
        <rFont val="Calibri"/>
        <family val="2"/>
        <scheme val="minor"/>
      </rPr>
      <t>T;sectie a</t>
    </r>
  </si>
  <si>
    <r>
      <t>U</t>
    </r>
    <r>
      <rPr>
        <vertAlign val="subscript"/>
        <sz val="11"/>
        <color theme="0"/>
        <rFont val="Calibri"/>
        <family val="2"/>
        <scheme val="minor"/>
      </rPr>
      <t>T;sectie a</t>
    </r>
  </si>
  <si>
    <r>
      <t>R</t>
    </r>
    <r>
      <rPr>
        <vertAlign val="subscript"/>
        <sz val="11"/>
        <color theme="0"/>
        <rFont val="Calibri"/>
        <family val="2"/>
        <scheme val="minor"/>
      </rPr>
      <t>T;sectie b</t>
    </r>
  </si>
  <si>
    <r>
      <t>U</t>
    </r>
    <r>
      <rPr>
        <vertAlign val="subscript"/>
        <sz val="11"/>
        <color theme="0"/>
        <rFont val="Calibri"/>
        <family val="2"/>
        <scheme val="minor"/>
      </rPr>
      <t>T;sectie b</t>
    </r>
  </si>
  <si>
    <r>
      <t>R</t>
    </r>
    <r>
      <rPr>
        <vertAlign val="subscript"/>
        <sz val="11"/>
        <color theme="0"/>
        <rFont val="Calibri"/>
        <family val="2"/>
        <scheme val="minor"/>
      </rPr>
      <t>T</t>
    </r>
    <r>
      <rPr>
        <sz val="11"/>
        <color theme="0"/>
        <rFont val="Calibri"/>
        <family val="2"/>
        <scheme val="minor"/>
      </rPr>
      <t>'</t>
    </r>
  </si>
  <si>
    <r>
      <t>R</t>
    </r>
    <r>
      <rPr>
        <vertAlign val="subscript"/>
        <sz val="11"/>
        <color theme="0"/>
        <rFont val="Calibri"/>
        <family val="2"/>
        <scheme val="minor"/>
      </rPr>
      <t>T</t>
    </r>
    <r>
      <rPr>
        <sz val="11"/>
        <color theme="0"/>
        <rFont val="Calibri"/>
        <family val="2"/>
        <scheme val="minor"/>
      </rPr>
      <t>''</t>
    </r>
  </si>
  <si>
    <r>
      <t>R</t>
    </r>
    <r>
      <rPr>
        <vertAlign val="subscript"/>
        <sz val="11"/>
        <color theme="0"/>
        <rFont val="Calibri"/>
        <family val="2"/>
        <scheme val="minor"/>
      </rPr>
      <t>T</t>
    </r>
  </si>
  <si>
    <r>
      <t>U</t>
    </r>
    <r>
      <rPr>
        <vertAlign val="subscript"/>
        <sz val="11"/>
        <color theme="0"/>
        <rFont val="Calibri"/>
        <family val="2"/>
        <scheme val="minor"/>
      </rPr>
      <t>T</t>
    </r>
  </si>
  <si>
    <r>
      <t>ΔU</t>
    </r>
    <r>
      <rPr>
        <vertAlign val="subscript"/>
        <sz val="11"/>
        <color theme="0"/>
        <rFont val="Calibri"/>
        <family val="2"/>
        <scheme val="minor"/>
      </rPr>
      <t>a</t>
    </r>
    <r>
      <rPr>
        <sz val="11"/>
        <color theme="0"/>
        <rFont val="Calibri"/>
        <family val="2"/>
        <scheme val="minor"/>
      </rPr>
      <t xml:space="preserve"> </t>
    </r>
  </si>
  <si>
    <r>
      <t>ΔU</t>
    </r>
    <r>
      <rPr>
        <vertAlign val="subscript"/>
        <sz val="11"/>
        <color theme="0"/>
        <rFont val="Calibri"/>
        <family val="2"/>
        <scheme val="minor"/>
      </rPr>
      <t>r</t>
    </r>
    <r>
      <rPr>
        <sz val="11"/>
        <color theme="0"/>
        <rFont val="Calibri"/>
        <family val="2"/>
        <scheme val="minor"/>
      </rPr>
      <t xml:space="preserve"> </t>
    </r>
  </si>
  <si>
    <r>
      <t>ΔU</t>
    </r>
    <r>
      <rPr>
        <vertAlign val="subscript"/>
        <sz val="11"/>
        <color theme="0"/>
        <rFont val="Calibri"/>
        <family val="2"/>
        <scheme val="minor"/>
      </rPr>
      <t xml:space="preserve">fa </t>
    </r>
  </si>
  <si>
    <r>
      <t>U</t>
    </r>
    <r>
      <rPr>
        <vertAlign val="subscript"/>
        <sz val="11"/>
        <color theme="0"/>
        <rFont val="Calibri"/>
        <family val="2"/>
        <scheme val="minor"/>
      </rPr>
      <t>C</t>
    </r>
  </si>
  <si>
    <r>
      <t>R</t>
    </r>
    <r>
      <rPr>
        <vertAlign val="subscript"/>
        <sz val="11"/>
        <color theme="0"/>
        <rFont val="Calibri"/>
        <family val="2"/>
        <scheme val="minor"/>
      </rPr>
      <t>C</t>
    </r>
  </si>
  <si>
    <t>8.4</t>
  </si>
  <si>
    <t>8.6</t>
  </si>
  <si>
    <t>8.7</t>
  </si>
  <si>
    <t>tabel C.2</t>
  </si>
  <si>
    <t>gevel</t>
  </si>
  <si>
    <t>dak</t>
  </si>
  <si>
    <t>8.8</t>
  </si>
  <si>
    <t>8.9</t>
  </si>
  <si>
    <t>8.11 en 8.12</t>
  </si>
  <si>
    <t>C.1</t>
  </si>
  <si>
    <t>tabel C1</t>
  </si>
  <si>
    <t>C.4</t>
  </si>
  <si>
    <t>C.5</t>
  </si>
  <si>
    <t>C.6</t>
  </si>
  <si>
    <t>E.1</t>
  </si>
  <si>
    <t>geen</t>
  </si>
  <si>
    <t>gegavaniseerd staal</t>
  </si>
  <si>
    <t>RVS</t>
  </si>
  <si>
    <t/>
  </si>
  <si>
    <t>tabel H.1</t>
  </si>
  <si>
    <t>n.v.t.</t>
  </si>
  <si>
    <r>
      <t>d</t>
    </r>
    <r>
      <rPr>
        <vertAlign val="subscript"/>
        <sz val="11"/>
        <color theme="0"/>
        <rFont val="Calibri"/>
        <family val="2"/>
        <scheme val="minor"/>
      </rPr>
      <t>iso</t>
    </r>
  </si>
  <si>
    <t>CE label</t>
  </si>
  <si>
    <t>I.2.1.4</t>
  </si>
  <si>
    <t>ja</t>
  </si>
  <si>
    <t>nee</t>
  </si>
  <si>
    <t>Wordt de isolatie doorbroken door houten regels?</t>
  </si>
  <si>
    <t>vloer op zand</t>
  </si>
  <si>
    <t>vloer boven onverwarmde ruimte</t>
  </si>
  <si>
    <t>Opmer- king</t>
  </si>
  <si>
    <t xml:space="preserve">Constructie </t>
  </si>
  <si>
    <t>Bevestigers</t>
  </si>
  <si>
    <r>
      <t>ʎ</t>
    </r>
    <r>
      <rPr>
        <sz val="10.8"/>
        <color theme="1"/>
        <rFont val="Calibri"/>
        <family val="2"/>
      </rPr>
      <t xml:space="preserve"> isolatie materiaal (reken)</t>
    </r>
  </si>
  <si>
    <t>tabel E5</t>
  </si>
  <si>
    <r>
      <t>F</t>
    </r>
    <r>
      <rPr>
        <sz val="6"/>
        <color theme="1"/>
        <rFont val="Calibri"/>
        <family val="2"/>
        <scheme val="minor"/>
      </rPr>
      <t>A:iso</t>
    </r>
  </si>
  <si>
    <r>
      <t>F</t>
    </r>
    <r>
      <rPr>
        <sz val="6"/>
        <color theme="1"/>
        <rFont val="Calibri"/>
        <family val="2"/>
        <scheme val="minor"/>
      </rPr>
      <t>A:appl B</t>
    </r>
  </si>
  <si>
    <t>tussen gording</t>
  </si>
  <si>
    <t>Dak 1</t>
  </si>
  <si>
    <t>Dak 2</t>
  </si>
  <si>
    <t>Gevel</t>
  </si>
  <si>
    <t xml:space="preserve">Vloer </t>
  </si>
  <si>
    <t>Dikte mm</t>
  </si>
  <si>
    <t>dikte</t>
  </si>
  <si>
    <t>Gecontroleerde Kwaliteitsverklaring</t>
  </si>
  <si>
    <t>Isolatiedikte mm</t>
  </si>
  <si>
    <r>
      <t>R</t>
    </r>
    <r>
      <rPr>
        <sz val="6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>(m2K/W)</t>
    </r>
  </si>
  <si>
    <t>Codering:</t>
  </si>
  <si>
    <t>Betreft:</t>
  </si>
  <si>
    <t>Toepassing:</t>
  </si>
  <si>
    <t>Fabrikant:</t>
  </si>
  <si>
    <t>Type:</t>
  </si>
  <si>
    <t>Ingangsdatum verklaring:</t>
  </si>
  <si>
    <t>Geldigheidduur verklaring:</t>
  </si>
  <si>
    <t>ononderbroken</t>
  </si>
  <si>
    <t>ʎd</t>
  </si>
  <si>
    <t>ʎ reken</t>
  </si>
  <si>
    <t>ʎ reken afgerond</t>
  </si>
  <si>
    <t>all</t>
  </si>
  <si>
    <t>W/mK</t>
  </si>
  <si>
    <t>Productnaam:</t>
  </si>
  <si>
    <r>
      <t>Vloer R</t>
    </r>
    <r>
      <rPr>
        <b/>
        <sz val="8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/Rbf</t>
    </r>
  </si>
  <si>
    <t>Monster</t>
  </si>
  <si>
    <t>Lambdawaarde (W/m.K)</t>
  </si>
  <si>
    <r>
      <t>l</t>
    </r>
    <r>
      <rPr>
        <sz val="10"/>
        <rFont val="Arial"/>
        <family val="2"/>
      </rPr>
      <t>avg</t>
    </r>
  </si>
  <si>
    <t>n</t>
  </si>
  <si>
    <t>k</t>
  </si>
  <si>
    <t>St dev</t>
  </si>
  <si>
    <t>Lambda 90/90</t>
  </si>
  <si>
    <t>Lambda D</t>
  </si>
  <si>
    <t>Gemiddelde</t>
  </si>
  <si>
    <t xml:space="preserve">Meet resultaat </t>
  </si>
  <si>
    <t>Gemeten door</t>
  </si>
  <si>
    <t>&gt;</t>
  </si>
  <si>
    <r>
      <t>R</t>
    </r>
    <r>
      <rPr>
        <vertAlign val="subscript"/>
        <sz val="10"/>
        <rFont val="Calibri"/>
        <family val="2"/>
      </rPr>
      <t>T</t>
    </r>
    <r>
      <rPr>
        <sz val="10"/>
        <rFont val="Calibri"/>
        <family val="2"/>
      </rPr>
      <t xml:space="preserve"> = ((a' x R</t>
    </r>
    <r>
      <rPr>
        <vertAlign val="subscript"/>
        <sz val="10"/>
        <color indexed="8"/>
        <rFont val="Calibri"/>
        <family val="2"/>
      </rPr>
      <t>T</t>
    </r>
    <r>
      <rPr>
        <sz val="10"/>
        <rFont val="Calibri"/>
        <family val="2"/>
      </rPr>
      <t>' + R</t>
    </r>
    <r>
      <rPr>
        <vertAlign val="subscript"/>
        <sz val="10"/>
        <color indexed="8"/>
        <rFont val="Calibri"/>
        <family val="2"/>
      </rPr>
      <t>T</t>
    </r>
    <r>
      <rPr>
        <sz val="10"/>
        <rFont val="Calibri"/>
        <family val="2"/>
      </rPr>
      <t>'') / (1 + 1,05 x a'))</t>
    </r>
  </si>
  <si>
    <r>
      <t>Is R' ≤ 1,05 x (R''</t>
    </r>
    <r>
      <rPr>
        <sz val="10"/>
        <color indexed="8"/>
        <rFont val="Calibri"/>
        <family val="2"/>
      </rPr>
      <t>)?</t>
    </r>
  </si>
  <si>
    <r>
      <t>R</t>
    </r>
    <r>
      <rPr>
        <vertAlign val="subscript"/>
        <sz val="11"/>
        <rFont val="Calibri"/>
        <family val="2"/>
        <scheme val="minor"/>
      </rPr>
      <t>D;iso</t>
    </r>
    <r>
      <rPr>
        <sz val="11"/>
        <rFont val="Calibri"/>
        <family val="2"/>
        <scheme val="minor"/>
      </rPr>
      <t xml:space="preserve"> + R</t>
    </r>
    <r>
      <rPr>
        <vertAlign val="subscript"/>
        <sz val="11"/>
        <rFont val="Calibri"/>
        <family val="2"/>
        <scheme val="minor"/>
      </rPr>
      <t>se</t>
    </r>
    <r>
      <rPr>
        <sz val="11"/>
        <rFont val="Calibri"/>
        <family val="2"/>
        <scheme val="minor"/>
      </rPr>
      <t xml:space="preserve"> + R</t>
    </r>
    <r>
      <rPr>
        <vertAlign val="subscript"/>
        <sz val="11"/>
        <rFont val="Calibri"/>
        <family val="2"/>
        <scheme val="minor"/>
      </rPr>
      <t>si</t>
    </r>
  </si>
  <si>
    <t>Rad =</t>
  </si>
  <si>
    <r>
      <rPr>
        <sz val="11"/>
        <rFont val="Calibri"/>
        <family val="2"/>
      </rPr>
      <t>d/λ</t>
    </r>
    <r>
      <rPr>
        <vertAlign val="subscript"/>
        <sz val="11"/>
        <color theme="1"/>
        <rFont val="Calibri"/>
        <family val="2"/>
        <scheme val="minor"/>
      </rPr>
      <t>''</t>
    </r>
    <r>
      <rPr>
        <sz val="11"/>
        <color theme="1"/>
        <rFont val="Calibri"/>
        <family val="2"/>
        <scheme val="minor"/>
      </rPr>
      <t xml:space="preserve"> + R</t>
    </r>
    <r>
      <rPr>
        <vertAlign val="subscript"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+ R</t>
    </r>
    <r>
      <rPr>
        <vertAlign val="subscript"/>
        <sz val="11"/>
        <color theme="1"/>
        <rFont val="Calibri"/>
        <family val="2"/>
        <scheme val="minor"/>
      </rPr>
      <t>si</t>
    </r>
  </si>
  <si>
    <r>
      <t>1 / U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- R</t>
    </r>
    <r>
      <rPr>
        <vertAlign val="subscript"/>
        <sz val="11"/>
        <rFont val="Calibri"/>
        <family val="2"/>
        <scheme val="minor"/>
      </rPr>
      <t>si</t>
    </r>
    <r>
      <rPr>
        <sz val="11"/>
        <rFont val="Calibri"/>
        <family val="2"/>
        <scheme val="minor"/>
      </rPr>
      <t xml:space="preserve"> - R</t>
    </r>
    <r>
      <rPr>
        <vertAlign val="subscript"/>
        <sz val="11"/>
        <rFont val="Calibri"/>
        <family val="2"/>
        <scheme val="minor"/>
      </rPr>
      <t>se+</t>
    </r>
    <r>
      <rPr>
        <sz val="11"/>
        <rFont val="Calibri"/>
        <family val="2"/>
        <scheme val="minor"/>
      </rPr>
      <t>R</t>
    </r>
    <r>
      <rPr>
        <vertAlign val="subscript"/>
        <sz val="11"/>
        <rFont val="Calibri"/>
        <family val="2"/>
        <scheme val="minor"/>
      </rPr>
      <t>ad</t>
    </r>
  </si>
  <si>
    <t>Let op 3% regel uit de NTA 8800 wordt in deze rekensheet niet toegepast</t>
  </si>
  <si>
    <r>
      <t>Gevel R</t>
    </r>
    <r>
      <rPr>
        <b/>
        <sz val="8"/>
        <color theme="1"/>
        <rFont val="Calibri"/>
        <family val="2"/>
        <scheme val="minor"/>
      </rPr>
      <t>c</t>
    </r>
  </si>
  <si>
    <r>
      <t>Dak R</t>
    </r>
    <r>
      <rPr>
        <b/>
        <sz val="8"/>
        <color theme="1"/>
        <rFont val="Calibri"/>
        <family val="2"/>
        <scheme val="minor"/>
      </rPr>
      <t>c</t>
    </r>
  </si>
  <si>
    <t>aantal</t>
  </si>
  <si>
    <r>
      <t xml:space="preserve">Tabel J.1 — Waarden voor </t>
    </r>
    <r>
      <rPr>
        <b/>
        <i/>
        <sz val="11"/>
        <color theme="1"/>
        <rFont val="Cambria"/>
        <family val="1"/>
      </rPr>
      <t>k</t>
    </r>
    <r>
      <rPr>
        <b/>
        <sz val="11"/>
        <color theme="1"/>
        <rFont val="Cambria"/>
        <family val="1"/>
      </rPr>
      <t xml:space="preserve"> bij een eenzijdige tolerantie-interval van 90 % met een betrouwbaarheidsniveau van 90 %</t>
    </r>
  </si>
  <si>
    <t>Aantal meetwaarden</t>
  </si>
  <si>
    <t>2 000</t>
  </si>
  <si>
    <r>
      <t xml:space="preserve">OPMERKING De </t>
    </r>
    <r>
      <rPr>
        <i/>
        <sz val="9"/>
        <color theme="1"/>
        <rFont val="Cambria"/>
        <family val="1"/>
      </rPr>
      <t>k</t>
    </r>
    <r>
      <rPr>
        <sz val="9"/>
        <color theme="1"/>
        <rFont val="Cambria"/>
        <family val="1"/>
      </rPr>
      <t xml:space="preserve">-waarde voor andere aantallen meetwaarden kan door lineaire interpolatie worden bepaald of worden ontleend aan NEN-ISO 16269-6 </t>
    </r>
    <r>
      <rPr>
        <i/>
        <sz val="9"/>
        <color theme="1"/>
        <rFont val="Cambria"/>
        <family val="1"/>
      </rPr>
      <t>Statistische interpretatie van gegevens – Deel 6: Bepaling van statistische tolerantie-intervallen</t>
    </r>
    <r>
      <rPr>
        <sz val="9"/>
        <color theme="1"/>
        <rFont val="Cambria"/>
        <family val="1"/>
      </rPr>
      <t>.</t>
    </r>
  </si>
  <si>
    <t>(Tabel J.1 NTA8800)</t>
  </si>
  <si>
    <t>(Formule J.2 NTA8800)</t>
  </si>
  <si>
    <t>(Formule J.1 NTA8800)</t>
  </si>
  <si>
    <t>(E2.2.2.4 NTA8800)</t>
  </si>
  <si>
    <t>versie 1.1 met Tule bevestigers</t>
  </si>
  <si>
    <t>kunststof Tule</t>
  </si>
  <si>
    <t>NTA8800</t>
  </si>
  <si>
    <t>Afronding:</t>
  </si>
  <si>
    <t xml:space="preserve">Tabel  - Meetresultaten proefstukken geaclimatiseerd bij 23°C en 50%RV </t>
  </si>
  <si>
    <t>Versie 2025.1</t>
  </si>
  <si>
    <t>Toepassing NTA8800:2024</t>
  </si>
  <si>
    <t>k-factor invullen (afhankelijk van het aantal monsters)</t>
  </si>
  <si>
    <r>
      <t xml:space="preserve">Het </t>
    </r>
    <r>
      <rPr>
        <b/>
        <sz val="11"/>
        <color theme="1"/>
        <rFont val="Calibri"/>
        <family val="2"/>
        <scheme val="minor"/>
      </rPr>
      <t>minimale aantal monsters conform</t>
    </r>
    <r>
      <rPr>
        <sz val="11"/>
        <color theme="1"/>
        <rFont val="Calibri"/>
        <family val="2"/>
        <scheme val="minor"/>
      </rPr>
      <t xml:space="preserve"> de meest recente </t>
    </r>
    <r>
      <rPr>
        <b/>
        <sz val="11"/>
        <color theme="1"/>
        <rFont val="Calibri"/>
        <family val="2"/>
        <scheme val="minor"/>
      </rPr>
      <t>productnorm</t>
    </r>
    <r>
      <rPr>
        <sz val="11"/>
        <color theme="1"/>
        <rFont val="Calibri"/>
        <family val="2"/>
        <scheme val="minor"/>
      </rPr>
      <t xml:space="preserve"> dient door een onafhankelijk party getest te zijn.</t>
    </r>
  </si>
  <si>
    <t>Versie 2025:1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</si>
</sst>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"/>
    <numFmt numFmtId="166" formatCode="0.000"/>
    <numFmt numFmtId="167" formatCode="0.0%"/>
    <numFmt numFmtId="168" formatCode="0.000000"/>
    <numFmt numFmtId="169" formatCode="0.00000"/>
    <numFmt numFmtId="170" formatCode="######0.0000"/>
  </numFmts>
  <fonts count="35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10"/>
      <color indexed="8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vertAlign val="subscript"/>
      <sz val="10"/>
      <name val="Calibri"/>
      <family val="2"/>
    </font>
    <font>
      <sz val="10"/>
      <name val="Calibri"/>
      <family val="2"/>
    </font>
    <font>
      <vertAlign val="subscript"/>
      <sz val="9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.8"/>
      <color theme="1"/>
      <name val="Calibri"/>
      <family val="2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  <font>
      <i/>
      <sz val="9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259">
    <xf numFmtId="0" fontId="0" fillId="0" borderId="0" xfId="0"/>
    <xf numFmtId="0" fontId="2" fillId="3" borderId="3" xfId="0" applyFont="1" applyFill="1" applyBorder="1" applyAlignment="1" applyProtection="1">
      <alignment horizontal="right" vertical="center" wrapText="1"/>
      <protection hidden="1"/>
    </xf>
    <xf numFmtId="0" fontId="2" fillId="3" borderId="0" xfId="0" applyFont="1" applyFill="1" applyAlignment="1" applyProtection="1">
      <alignment horizontal="left" vertical="center" wrapText="1"/>
      <protection hidden="1"/>
    </xf>
    <xf numFmtId="0" fontId="2" fillId="3" borderId="4" xfId="0" applyFont="1" applyFill="1" applyBorder="1" applyAlignment="1" applyProtection="1">
      <alignment horizontal="right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2" fontId="2" fillId="3" borderId="3" xfId="0" applyNumberFormat="1" applyFont="1" applyFill="1" applyBorder="1" applyAlignment="1" applyProtection="1">
      <alignment horizontal="right" vertical="center" wrapText="1"/>
      <protection hidden="1"/>
    </xf>
    <xf numFmtId="2" fontId="2" fillId="3" borderId="0" xfId="0" applyNumberFormat="1" applyFont="1" applyFill="1" applyAlignment="1" applyProtection="1">
      <alignment horizontal="right" vertical="center" wrapText="1"/>
      <protection hidden="1"/>
    </xf>
    <xf numFmtId="2" fontId="2" fillId="3" borderId="4" xfId="0" applyNumberFormat="1" applyFont="1" applyFill="1" applyBorder="1" applyAlignment="1" applyProtection="1">
      <alignment horizontal="right" vertical="center" wrapText="1"/>
      <protection hidden="1"/>
    </xf>
    <xf numFmtId="2" fontId="2" fillId="3" borderId="0" xfId="0" applyNumberFormat="1" applyFont="1" applyFill="1" applyAlignment="1" applyProtection="1">
      <alignment horizontal="left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23" xfId="0" quotePrefix="1" applyFont="1" applyFill="1" applyBorder="1" applyAlignment="1" applyProtection="1">
      <alignment horizontal="center" vertical="center"/>
      <protection hidden="1"/>
    </xf>
    <xf numFmtId="0" fontId="6" fillId="4" borderId="10" xfId="0" quotePrefix="1" applyFont="1" applyFill="1" applyBorder="1" applyAlignment="1" applyProtection="1">
      <alignment horizontal="center" vertical="center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2" fontId="2" fillId="3" borderId="2" xfId="0" applyNumberFormat="1" applyFont="1" applyFill="1" applyBorder="1" applyAlignment="1" applyProtection="1">
      <alignment horizontal="left" vertical="center" wrapText="1"/>
      <protection hidden="1"/>
    </xf>
    <xf numFmtId="9" fontId="2" fillId="3" borderId="4" xfId="0" applyNumberFormat="1" applyFont="1" applyFill="1" applyBorder="1" applyAlignment="1" applyProtection="1">
      <alignment horizontal="right" wrapText="1"/>
      <protection hidden="1"/>
    </xf>
    <xf numFmtId="0" fontId="0" fillId="0" borderId="0" xfId="0" applyAlignment="1" applyProtection="1">
      <alignment vertical="center"/>
      <protection locked="0"/>
    </xf>
    <xf numFmtId="10" fontId="6" fillId="5" borderId="2" xfId="1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quotePrefix="1" applyProtection="1">
      <protection hidden="1"/>
    </xf>
    <xf numFmtId="0" fontId="0" fillId="0" borderId="0" xfId="0" quotePrefix="1" applyAlignment="1" applyProtection="1">
      <alignment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166" fontId="0" fillId="3" borderId="0" xfId="0" applyNumberFormat="1" applyFill="1" applyAlignment="1" applyProtection="1">
      <alignment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0" fontId="0" fillId="3" borderId="7" xfId="0" applyFill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10" fontId="0" fillId="3" borderId="2" xfId="1" applyNumberFormat="1" applyFont="1" applyFill="1" applyBorder="1" applyAlignment="1" applyProtection="1">
      <protection hidden="1"/>
    </xf>
    <xf numFmtId="2" fontId="0" fillId="3" borderId="2" xfId="0" applyNumberFormat="1" applyFill="1" applyBorder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3" xfId="0" applyNumberFormat="1" applyBorder="1" applyProtection="1">
      <protection hidden="1"/>
    </xf>
    <xf numFmtId="165" fontId="0" fillId="0" borderId="6" xfId="0" applyNumberFormat="1" applyBorder="1" applyProtection="1">
      <protection hidden="1"/>
    </xf>
    <xf numFmtId="168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2" fontId="6" fillId="5" borderId="0" xfId="0" applyNumberFormat="1" applyFont="1" applyFill="1" applyAlignment="1" applyProtection="1">
      <alignment horizontal="right" vertical="center" wrapText="1"/>
      <protection locked="0"/>
    </xf>
    <xf numFmtId="0" fontId="19" fillId="2" borderId="0" xfId="0" applyFont="1" applyFill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1" fontId="0" fillId="0" borderId="3" xfId="0" applyNumberFormat="1" applyBorder="1" applyProtection="1">
      <protection hidden="1"/>
    </xf>
    <xf numFmtId="164" fontId="17" fillId="0" borderId="12" xfId="0" applyNumberFormat="1" applyFont="1" applyBorder="1" applyAlignment="1" applyProtection="1">
      <alignment horizontal="center" vertical="center" textRotation="90"/>
      <protection hidden="1"/>
    </xf>
    <xf numFmtId="164" fontId="17" fillId="0" borderId="13" xfId="0" applyNumberFormat="1" applyFont="1" applyBorder="1" applyAlignment="1" applyProtection="1">
      <alignment horizontal="center" vertical="center" textRotation="90"/>
      <protection hidden="1"/>
    </xf>
    <xf numFmtId="164" fontId="0" fillId="0" borderId="10" xfId="0" applyNumberFormat="1" applyBorder="1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2" fontId="0" fillId="0" borderId="26" xfId="0" applyNumberFormat="1" applyBorder="1" applyAlignment="1" applyProtection="1">
      <alignment horizontal="center" vertical="center"/>
      <protection hidden="1"/>
    </xf>
    <xf numFmtId="0" fontId="0" fillId="2" borderId="9" xfId="0" applyFill="1" applyBorder="1" applyProtection="1">
      <protection hidden="1"/>
    </xf>
    <xf numFmtId="0" fontId="22" fillId="2" borderId="16" xfId="0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0" fillId="6" borderId="9" xfId="0" applyFill="1" applyBorder="1" applyProtection="1">
      <protection hidden="1"/>
    </xf>
    <xf numFmtId="0" fontId="22" fillId="2" borderId="9" xfId="0" applyFont="1" applyFill="1" applyBorder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2" fontId="0" fillId="2" borderId="26" xfId="0" applyNumberFormat="1" applyFill="1" applyBorder="1" applyAlignment="1" applyProtection="1">
      <alignment horizontal="center" vertical="center"/>
      <protection hidden="1"/>
    </xf>
    <xf numFmtId="2" fontId="0" fillId="2" borderId="30" xfId="0" applyNumberFormat="1" applyFill="1" applyBorder="1" applyAlignment="1" applyProtection="1">
      <alignment horizontal="center" vertic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2" fontId="0" fillId="0" borderId="27" xfId="0" applyNumberForma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22" fillId="7" borderId="27" xfId="0" applyFont="1" applyFill="1" applyBorder="1" applyAlignment="1" applyProtection="1">
      <alignment horizontal="center" vertical="center"/>
      <protection hidden="1"/>
    </xf>
    <xf numFmtId="166" fontId="6" fillId="5" borderId="28" xfId="0" applyNumberFormat="1" applyFont="1" applyFill="1" applyBorder="1" applyAlignment="1" applyProtection="1">
      <alignment horizontal="center"/>
      <protection hidden="1"/>
    </xf>
    <xf numFmtId="0" fontId="0" fillId="2" borderId="26" xfId="0" applyFill="1" applyBorder="1" applyProtection="1">
      <protection hidden="1"/>
    </xf>
    <xf numFmtId="0" fontId="22" fillId="2" borderId="26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7" xfId="0" applyFill="1" applyBorder="1" applyAlignment="1" applyProtection="1">
      <alignment horizontal="center" vertical="center"/>
      <protection hidden="1"/>
    </xf>
    <xf numFmtId="2" fontId="0" fillId="2" borderId="31" xfId="0" applyNumberFormat="1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hidden="1"/>
    </xf>
    <xf numFmtId="2" fontId="0" fillId="2" borderId="3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0" fillId="0" borderId="26" xfId="0" applyBorder="1" applyAlignment="1" applyProtection="1">
      <alignment horizontal="center" vertical="center"/>
      <protection hidden="1"/>
    </xf>
    <xf numFmtId="0" fontId="22" fillId="0" borderId="26" xfId="0" applyFont="1" applyBorder="1"/>
    <xf numFmtId="2" fontId="0" fillId="0" borderId="41" xfId="0" applyNumberFormat="1" applyBorder="1" applyAlignment="1" applyProtection="1">
      <alignment horizontal="center" vertical="center"/>
      <protection hidden="1"/>
    </xf>
    <xf numFmtId="2" fontId="0" fillId="0" borderId="42" xfId="0" applyNumberFormat="1" applyBorder="1" applyAlignment="1" applyProtection="1">
      <alignment horizontal="center" vertical="center"/>
      <protection hidden="1"/>
    </xf>
    <xf numFmtId="169" fontId="0" fillId="2" borderId="27" xfId="0" applyNumberFormat="1" applyFill="1" applyBorder="1" applyAlignment="1" applyProtection="1">
      <alignment horizontal="center" vertical="center"/>
      <protection hidden="1"/>
    </xf>
    <xf numFmtId="0" fontId="5" fillId="0" borderId="0" xfId="2" applyAlignment="1" applyProtection="1">
      <alignment vertical="center"/>
      <protection hidden="1"/>
    </xf>
    <xf numFmtId="0" fontId="22" fillId="6" borderId="16" xfId="0" applyFont="1" applyFill="1" applyBorder="1" applyAlignment="1" applyProtection="1">
      <alignment horizontal="left" vertical="center"/>
      <protection hidden="1"/>
    </xf>
    <xf numFmtId="0" fontId="25" fillId="0" borderId="0" xfId="0" applyFont="1"/>
    <xf numFmtId="0" fontId="0" fillId="8" borderId="43" xfId="0" applyFill="1" applyBorder="1" applyAlignment="1">
      <alignment horizontal="center"/>
    </xf>
    <xf numFmtId="0" fontId="0" fillId="8" borderId="43" xfId="0" applyFill="1" applyBorder="1" applyAlignment="1">
      <alignment horizontal="center" wrapText="1"/>
    </xf>
    <xf numFmtId="0" fontId="0" fillId="8" borderId="26" xfId="0" applyFill="1" applyBorder="1" applyAlignment="1">
      <alignment horizontal="center" wrapText="1"/>
    </xf>
    <xf numFmtId="0" fontId="0" fillId="0" borderId="26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6" borderId="36" xfId="0" applyFill="1" applyBorder="1"/>
    <xf numFmtId="166" fontId="22" fillId="7" borderId="4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47" xfId="0" applyFon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2" fontId="0" fillId="3" borderId="1" xfId="0" applyNumberFormat="1" applyFill="1" applyBorder="1" applyAlignment="1" applyProtection="1">
      <alignment vertical="center"/>
      <protection hidden="1"/>
    </xf>
    <xf numFmtId="2" fontId="0" fillId="3" borderId="13" xfId="0" applyNumberFormat="1" applyFill="1" applyBorder="1" applyAlignment="1" applyProtection="1">
      <alignment vertical="center"/>
      <protection hidden="1"/>
    </xf>
    <xf numFmtId="0" fontId="30" fillId="0" borderId="0" xfId="0" applyFont="1" applyAlignment="1">
      <alignment horizontal="left" vertical="center"/>
    </xf>
    <xf numFmtId="0" fontId="24" fillId="2" borderId="6" xfId="0" applyFont="1" applyFill="1" applyBorder="1" applyAlignment="1" applyProtection="1">
      <alignment horizontal="center" vertical="top"/>
      <protection hidden="1"/>
    </xf>
    <xf numFmtId="0" fontId="24" fillId="2" borderId="50" xfId="0" applyFont="1" applyFill="1" applyBorder="1" applyAlignment="1" applyProtection="1">
      <alignment horizontal="center" vertical="top"/>
      <protection hidden="1"/>
    </xf>
    <xf numFmtId="0" fontId="0" fillId="7" borderId="7" xfId="0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9" borderId="0" xfId="0" applyFill="1"/>
    <xf numFmtId="0" fontId="0" fillId="7" borderId="0" xfId="0" applyFill="1"/>
    <xf numFmtId="0" fontId="30" fillId="0" borderId="51" xfId="0" applyFont="1" applyBorder="1" applyAlignment="1">
      <alignment horizontal="center" vertical="center" wrapText="1"/>
    </xf>
    <xf numFmtId="0" fontId="31" fillId="9" borderId="51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2" fontId="32" fillId="0" borderId="34" xfId="0" applyNumberFormat="1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2" fontId="32" fillId="0" borderId="54" xfId="0" applyNumberFormat="1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2" fontId="32" fillId="0" borderId="56" xfId="0" applyNumberFormat="1" applyFont="1" applyBorder="1" applyAlignment="1">
      <alignment horizontal="center" vertical="center" wrapText="1"/>
    </xf>
    <xf numFmtId="0" fontId="26" fillId="0" borderId="57" xfId="0" applyFont="1" applyBorder="1"/>
    <xf numFmtId="164" fontId="0" fillId="0" borderId="58" xfId="0" applyNumberFormat="1" applyBorder="1" applyAlignment="1">
      <alignment horizontal="center"/>
    </xf>
    <xf numFmtId="0" fontId="0" fillId="0" borderId="59" xfId="0" applyBorder="1"/>
    <xf numFmtId="0" fontId="0" fillId="0" borderId="60" xfId="0" applyBorder="1" applyAlignment="1">
      <alignment horizontal="center"/>
    </xf>
    <xf numFmtId="0" fontId="0" fillId="9" borderId="60" xfId="0" applyFill="1" applyBorder="1" applyAlignment="1">
      <alignment horizontal="center"/>
    </xf>
    <xf numFmtId="170" fontId="0" fillId="0" borderId="60" xfId="0" applyNumberFormat="1" applyBorder="1" applyAlignment="1">
      <alignment horizontal="center"/>
    </xf>
    <xf numFmtId="0" fontId="0" fillId="0" borderId="61" xfId="0" applyBorder="1"/>
    <xf numFmtId="164" fontId="0" fillId="0" borderId="62" xfId="0" applyNumberFormat="1" applyBorder="1" applyAlignment="1">
      <alignment horizontal="center"/>
    </xf>
    <xf numFmtId="0" fontId="22" fillId="2" borderId="40" xfId="0" applyFont="1" applyFill="1" applyBorder="1" applyAlignment="1" applyProtection="1">
      <alignment horizontal="center" vertical="center"/>
      <protection hidden="1"/>
    </xf>
    <xf numFmtId="0" fontId="22" fillId="2" borderId="49" xfId="0" applyFont="1" applyFill="1" applyBorder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  <protection hidden="1"/>
    </xf>
    <xf numFmtId="0" fontId="22" fillId="2" borderId="6" xfId="0" applyFont="1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 wrapText="1"/>
      <protection hidden="1"/>
    </xf>
    <xf numFmtId="0" fontId="0" fillId="2" borderId="35" xfId="0" applyFill="1" applyBorder="1" applyAlignment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33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2" fillId="3" borderId="25" xfId="0" applyFont="1" applyFill="1" applyBorder="1" applyAlignment="1" applyProtection="1">
      <alignment horizontal="center" vertical="center" textRotation="90" wrapText="1"/>
      <protection hidden="1"/>
    </xf>
    <xf numFmtId="0" fontId="2" fillId="3" borderId="18" xfId="0" applyFont="1" applyFill="1" applyBorder="1" applyAlignment="1" applyProtection="1">
      <alignment horizontal="center" vertical="center" textRotation="90" wrapText="1"/>
      <protection hidden="1"/>
    </xf>
    <xf numFmtId="0" fontId="2" fillId="3" borderId="19" xfId="0" applyFont="1" applyFill="1" applyBorder="1" applyAlignment="1" applyProtection="1">
      <alignment horizontal="center" vertical="center" textRotation="90" wrapText="1"/>
      <protection hidden="1"/>
    </xf>
    <xf numFmtId="0" fontId="2" fillId="3" borderId="7" xfId="0" applyFont="1" applyFill="1" applyBorder="1" applyAlignment="1" applyProtection="1">
      <alignment horizontal="center" vertical="center" textRotation="90" wrapText="1"/>
      <protection hidden="1"/>
    </xf>
    <xf numFmtId="0" fontId="2" fillId="3" borderId="8" xfId="0" applyFont="1" applyFill="1" applyBorder="1" applyAlignment="1" applyProtection="1">
      <alignment horizontal="center" vertical="center" textRotation="90" wrapText="1"/>
      <protection hidden="1"/>
    </xf>
    <xf numFmtId="0" fontId="2" fillId="3" borderId="3" xfId="0" applyFont="1" applyFill="1" applyBorder="1" applyAlignment="1" applyProtection="1">
      <alignment horizontal="center" vertical="center" textRotation="90" wrapText="1"/>
      <protection hidden="1"/>
    </xf>
    <xf numFmtId="0" fontId="2" fillId="3" borderId="0" xfId="0" applyFont="1" applyFill="1" applyAlignment="1" applyProtection="1">
      <alignment horizontal="center" vertical="center" textRotation="90" wrapText="1"/>
      <protection hidden="1"/>
    </xf>
    <xf numFmtId="0" fontId="2" fillId="3" borderId="10" xfId="0" applyFont="1" applyFill="1" applyBorder="1" applyAlignment="1" applyProtection="1">
      <alignment horizontal="center" vertical="center" textRotation="90" wrapText="1"/>
      <protection hidden="1"/>
    </xf>
    <xf numFmtId="0" fontId="2" fillId="3" borderId="1" xfId="0" applyFont="1" applyFill="1" applyBorder="1" applyAlignment="1" applyProtection="1">
      <alignment horizontal="center" vertical="center" textRotation="90" wrapText="1"/>
      <protection hidden="1"/>
    </xf>
    <xf numFmtId="0" fontId="2" fillId="3" borderId="14" xfId="0" applyFont="1" applyFill="1" applyBorder="1" applyAlignment="1" applyProtection="1">
      <alignment horizontal="center" vertical="center" textRotation="90" wrapText="1"/>
      <protection hidden="1"/>
    </xf>
    <xf numFmtId="0" fontId="2" fillId="3" borderId="12" xfId="0" applyFont="1" applyFill="1" applyBorder="1" applyAlignment="1" applyProtection="1">
      <alignment horizontal="center" vertical="center" textRotation="90" wrapText="1"/>
      <protection hidden="1"/>
    </xf>
    <xf numFmtId="0" fontId="2" fillId="3" borderId="13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5" fillId="2" borderId="0" xfId="2" applyFill="1" applyAlignment="1" applyProtection="1">
      <alignment horizontal="right" vertical="top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left" vertical="top"/>
      <protection locked="0"/>
    </xf>
    <xf numFmtId="166" fontId="6" fillId="5" borderId="0" xfId="0" applyNumberFormat="1" applyFont="1" applyFill="1" applyAlignment="1" applyProtection="1">
      <alignment horizontal="right" vertical="center"/>
      <protection locked="0"/>
    </xf>
    <xf numFmtId="0" fontId="6" fillId="5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0" fontId="17" fillId="2" borderId="0" xfId="2" applyFont="1" applyFill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29" fillId="0" borderId="0" xfId="0" applyFont="1" applyAlignment="1" applyProtection="1">
      <alignment horizontal="left" wrapText="1"/>
      <protection hidden="1"/>
    </xf>
    <xf numFmtId="0" fontId="29" fillId="0" borderId="2" xfId="0" applyFont="1" applyBorder="1" applyAlignment="1" applyProtection="1">
      <alignment horizontal="left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right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textRotation="90" wrapText="1"/>
      <protection hidden="1"/>
    </xf>
    <xf numFmtId="0" fontId="2" fillId="3" borderId="3" xfId="0" applyFont="1" applyFill="1" applyBorder="1" applyAlignment="1" applyProtection="1">
      <alignment horizontal="center" textRotation="90" wrapText="1"/>
      <protection hidden="1"/>
    </xf>
    <xf numFmtId="0" fontId="2" fillId="3" borderId="8" xfId="0" applyFont="1" applyFill="1" applyBorder="1" applyAlignment="1" applyProtection="1">
      <alignment horizontal="center" textRotation="90" wrapText="1"/>
      <protection hidden="1"/>
    </xf>
    <xf numFmtId="0" fontId="2" fillId="3" borderId="0" xfId="0" applyFont="1" applyFill="1" applyAlignment="1" applyProtection="1">
      <alignment horizontal="center" textRotation="90" wrapText="1"/>
      <protection hidden="1"/>
    </xf>
    <xf numFmtId="2" fontId="10" fillId="3" borderId="7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10" xfId="0" applyNumberFormat="1" applyFont="1" applyFill="1" applyBorder="1" applyAlignment="1" applyProtection="1">
      <alignment horizontal="center" vertical="center" textRotation="90" wrapText="1"/>
      <protection hidden="1"/>
    </xf>
    <xf numFmtId="0" fontId="7" fillId="3" borderId="7" xfId="0" applyFont="1" applyFill="1" applyBorder="1" applyAlignment="1" applyProtection="1">
      <alignment horizontal="center" vertical="center" textRotation="90" wrapText="1"/>
      <protection hidden="1"/>
    </xf>
    <xf numFmtId="0" fontId="7" fillId="3" borderId="3" xfId="0" applyFont="1" applyFill="1" applyBorder="1" applyAlignment="1" applyProtection="1">
      <alignment horizontal="center" vertical="center" textRotation="90" wrapText="1"/>
      <protection hidden="1"/>
    </xf>
    <xf numFmtId="0" fontId="7" fillId="3" borderId="10" xfId="0" applyFont="1" applyFill="1" applyBorder="1" applyAlignment="1" applyProtection="1">
      <alignment horizontal="center" vertical="center" textRotation="90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textRotation="90" wrapText="1"/>
      <protection hidden="1"/>
    </xf>
    <xf numFmtId="0" fontId="8" fillId="3" borderId="12" xfId="0" applyFont="1" applyFill="1" applyBorder="1" applyAlignment="1" applyProtection="1">
      <alignment horizontal="center" vertical="center" textRotation="90" wrapText="1"/>
      <protection hidden="1"/>
    </xf>
    <xf numFmtId="0" fontId="8" fillId="3" borderId="13" xfId="0" applyFont="1" applyFill="1" applyBorder="1" applyAlignment="1" applyProtection="1">
      <alignment horizontal="center" vertical="center" textRotation="90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textRotation="90" wrapText="1"/>
      <protection hidden="1"/>
    </xf>
    <xf numFmtId="0" fontId="2" fillId="3" borderId="6" xfId="0" applyFont="1" applyFill="1" applyBorder="1" applyAlignment="1" applyProtection="1">
      <alignment horizontal="center" vertical="center" textRotation="90" wrapText="1"/>
      <protection hidden="1"/>
    </xf>
    <xf numFmtId="0" fontId="2" fillId="3" borderId="11" xfId="0" applyFont="1" applyFill="1" applyBorder="1" applyAlignment="1" applyProtection="1">
      <alignment horizontal="center" vertical="center" textRotation="90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6" fillId="4" borderId="23" xfId="0" quotePrefix="1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4" borderId="10" xfId="0" quotePrefix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3" xfId="0" applyFill="1" applyBorder="1" applyAlignment="1">
      <alignment horizontal="center" vertical="center" textRotation="90" wrapText="1"/>
    </xf>
    <xf numFmtId="0" fontId="0" fillId="3" borderId="0" xfId="0" applyFill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10" fontId="0" fillId="3" borderId="2" xfId="1" applyNumberFormat="1" applyFont="1" applyFill="1" applyBorder="1" applyAlignment="1" applyProtection="1">
      <alignment horizontal="left" vertical="center"/>
      <protection hidden="1"/>
    </xf>
    <xf numFmtId="10" fontId="0" fillId="3" borderId="17" xfId="1" applyNumberFormat="1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center" vertical="center" textRotation="90" wrapText="1"/>
      <protection hidden="1"/>
    </xf>
    <xf numFmtId="0" fontId="4" fillId="3" borderId="6" xfId="0" applyFont="1" applyFill="1" applyBorder="1" applyAlignment="1" applyProtection="1">
      <alignment horizontal="center" vertical="center" textRotation="90" wrapText="1"/>
      <protection hidden="1"/>
    </xf>
    <xf numFmtId="0" fontId="4" fillId="3" borderId="11" xfId="0" applyFont="1" applyFill="1" applyBorder="1" applyAlignment="1" applyProtection="1">
      <alignment horizontal="center" vertical="center" textRotation="90" wrapText="1"/>
      <protection hidden="1"/>
    </xf>
    <xf numFmtId="167" fontId="2" fillId="3" borderId="3" xfId="0" applyNumberFormat="1" applyFont="1" applyFill="1" applyBorder="1" applyAlignment="1" applyProtection="1">
      <alignment horizontal="center" vertical="top" textRotation="90" wrapText="1"/>
      <protection hidden="1"/>
    </xf>
    <xf numFmtId="167" fontId="2" fillId="3" borderId="10" xfId="0" applyNumberFormat="1" applyFont="1" applyFill="1" applyBorder="1" applyAlignment="1" applyProtection="1">
      <alignment horizontal="center" vertical="top" textRotation="90" wrapText="1"/>
      <protection hidden="1"/>
    </xf>
    <xf numFmtId="167" fontId="2" fillId="3" borderId="12" xfId="0" applyNumberFormat="1" applyFont="1" applyFill="1" applyBorder="1" applyAlignment="1" applyProtection="1">
      <alignment horizontal="center" vertical="top" textRotation="90" wrapText="1"/>
      <protection hidden="1"/>
    </xf>
    <xf numFmtId="167" fontId="2" fillId="3" borderId="13" xfId="0" applyNumberFormat="1" applyFont="1" applyFill="1" applyBorder="1" applyAlignment="1" applyProtection="1">
      <alignment horizontal="center" vertical="top" textRotation="90" wrapText="1"/>
      <protection hidden="1"/>
    </xf>
    <xf numFmtId="0" fontId="2" fillId="3" borderId="7" xfId="0" applyFont="1" applyFill="1" applyBorder="1" applyAlignment="1" applyProtection="1">
      <alignment horizontal="center" wrapText="1"/>
      <protection hidden="1"/>
    </xf>
    <xf numFmtId="0" fontId="2" fillId="3" borderId="14" xfId="0" applyFont="1" applyFill="1" applyBorder="1" applyAlignment="1" applyProtection="1">
      <alignment horizontal="center" wrapText="1"/>
      <protection hidden="1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12" xfId="0" applyFont="1" applyFill="1" applyBorder="1" applyAlignment="1" applyProtection="1">
      <alignment horizontal="center" wrapText="1"/>
      <protection hidden="1"/>
    </xf>
    <xf numFmtId="0" fontId="2" fillId="3" borderId="9" xfId="0" applyFont="1" applyFill="1" applyBorder="1" applyAlignment="1" applyProtection="1">
      <alignment horizontal="center" wrapText="1"/>
      <protection hidden="1"/>
    </xf>
    <xf numFmtId="0" fontId="2" fillId="3" borderId="6" xfId="0" applyFont="1" applyFill="1" applyBorder="1" applyAlignment="1" applyProtection="1">
      <alignment horizontal="center" wrapText="1"/>
      <protection hidden="1"/>
    </xf>
    <xf numFmtId="0" fontId="2" fillId="3" borderId="16" xfId="0" applyFont="1" applyFill="1" applyBorder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textRotation="90" wrapText="1"/>
      <protection hidden="1"/>
    </xf>
    <xf numFmtId="0" fontId="7" fillId="3" borderId="6" xfId="0" applyFont="1" applyFill="1" applyBorder="1" applyAlignment="1" applyProtection="1">
      <alignment horizontal="center" vertical="center" textRotation="90" wrapText="1"/>
      <protection hidden="1"/>
    </xf>
    <xf numFmtId="0" fontId="7" fillId="3" borderId="11" xfId="0" applyFont="1" applyFill="1" applyBorder="1" applyAlignment="1" applyProtection="1">
      <alignment horizontal="center" vertical="center" textRotation="90" wrapText="1"/>
      <protection hidden="1"/>
    </xf>
    <xf numFmtId="164" fontId="0" fillId="0" borderId="3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hidden="1"/>
    </xf>
    <xf numFmtId="164" fontId="0" fillId="0" borderId="10" xfId="0" applyNumberFormat="1" applyBorder="1" applyAlignment="1" applyProtection="1">
      <alignment horizontal="right"/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0" fontId="18" fillId="0" borderId="8" xfId="0" applyFont="1" applyBorder="1" applyAlignment="1" applyProtection="1">
      <alignment horizontal="center" vertical="center" textRotation="90" wrapText="1"/>
      <protection hidden="1"/>
    </xf>
    <xf numFmtId="0" fontId="18" fillId="0" borderId="0" xfId="0" applyFont="1" applyAlignment="1" applyProtection="1">
      <alignment horizontal="center" vertical="center" textRotation="90" wrapText="1"/>
      <protection hidden="1"/>
    </xf>
    <xf numFmtId="0" fontId="6" fillId="5" borderId="8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0" fontId="6" fillId="5" borderId="12" xfId="0" applyFont="1" applyFill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0" fillId="0" borderId="0" xfId="0"/>
    <xf numFmtId="164" fontId="0" fillId="0" borderId="23" xfId="0" applyNumberFormat="1" applyBorder="1" applyAlignment="1" applyProtection="1">
      <alignment horizontal="right"/>
      <protection hidden="1"/>
    </xf>
    <xf numFmtId="164" fontId="0" fillId="0" borderId="21" xfId="0" applyNumberFormat="1" applyBorder="1" applyAlignment="1" applyProtection="1">
      <alignment horizontal="right"/>
      <protection hidden="1"/>
    </xf>
    <xf numFmtId="164" fontId="0" fillId="0" borderId="0" xfId="0" applyNumberFormat="1" applyBorder="1" applyAlignment="1" applyProtection="1">
      <alignment horizontal="right"/>
      <protection hidden="1"/>
    </xf>
    <xf numFmtId="164" fontId="0" fillId="0" borderId="24" xfId="0" applyNumberFormat="1" applyBorder="1" applyAlignment="1" applyProtection="1">
      <alignment horizontal="right"/>
      <protection hidden="1"/>
    </xf>
    <xf numFmtId="164" fontId="0" fillId="0" borderId="12" xfId="0" applyNumberFormat="1" applyBorder="1" applyAlignment="1" applyProtection="1">
      <alignment horizontal="right"/>
      <protection hidden="1"/>
    </xf>
  </cellXfs>
  <cellStyles count="3">
    <cellStyle name="Procent" xfId="1" builtinId="5"/>
    <cellStyle name="Standaard" xfId="0" builtinId="0"/>
    <cellStyle name="Standaard 2" xfId="2" xr:uid="{F9B5CA77-F4F6-4328-9103-6FEA0969A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4" dropStyle="combo" dx="22" fmlaLink="$AE$1" fmlaRange="$AF$1:$AF$4" sel="3" val="0"/>
</file>

<file path=xl/ctrlProps/ctrlProp10.xml><?xml version="1.0" encoding="utf-8"?>
<formControlPr xmlns="http://schemas.microsoft.com/office/spreadsheetml/2009/9/main" objectType="Drop" dropLines="4" dropStyle="combo" dx="22" fmlaLink="$AE$1" fmlaRange="$AF$1:$AF$4" sel="4" val="0"/>
</file>

<file path=xl/ctrlProps/ctrlProp11.xml><?xml version="1.0" encoding="utf-8"?>
<formControlPr xmlns="http://schemas.microsoft.com/office/spreadsheetml/2009/9/main" objectType="Drop" dropLines="3" dropStyle="combo" dx="22" fmlaLink="$AE$5" fmlaRange="$AF$5:$AF$7" sel="1" val="0"/>
</file>

<file path=xl/ctrlProps/ctrlProp12.xml><?xml version="1.0" encoding="utf-8"?>
<formControlPr xmlns="http://schemas.microsoft.com/office/spreadsheetml/2009/9/main" objectType="Drop" dropLines="2" dropStyle="combo" dx="22" fmlaLink="$AE$8" fmlaRange="$AF$8:$AF$9" sel="1" val="0"/>
</file>

<file path=xl/ctrlProps/ctrlProp2.xml><?xml version="1.0" encoding="utf-8"?>
<formControlPr xmlns="http://schemas.microsoft.com/office/spreadsheetml/2009/9/main" objectType="Drop" dropLines="3" dropStyle="combo" dx="22" fmlaLink="$AE$5" fmlaRange="$AF$5:$AF$7" sel="1" val="0"/>
</file>

<file path=xl/ctrlProps/ctrlProp3.xml><?xml version="1.0" encoding="utf-8"?>
<formControlPr xmlns="http://schemas.microsoft.com/office/spreadsheetml/2009/9/main" objectType="Drop" dropLines="2" dropStyle="combo" dx="22" fmlaLink="$AE$8" fmlaRange="$AF$8:$AF$9" sel="1" val="0"/>
</file>

<file path=xl/ctrlProps/ctrlProp4.xml><?xml version="1.0" encoding="utf-8"?>
<formControlPr xmlns="http://schemas.microsoft.com/office/spreadsheetml/2009/9/main" objectType="Drop" dropLines="4" dropStyle="combo" dx="22" fmlaLink="$AE$2" fmlaRange="$AF$2:$AF$5" sel="2" val="0"/>
</file>

<file path=xl/ctrlProps/ctrlProp5.xml><?xml version="1.0" encoding="utf-8"?>
<formControlPr xmlns="http://schemas.microsoft.com/office/spreadsheetml/2009/9/main" objectType="Drop" dropLines="4" dropStyle="combo" dx="22" fmlaLink="$AE$6" fmlaRange="$AF$6:$AF$9" sel="2" val="0"/>
</file>

<file path=xl/ctrlProps/ctrlProp6.xml><?xml version="1.0" encoding="utf-8"?>
<formControlPr xmlns="http://schemas.microsoft.com/office/spreadsheetml/2009/9/main" objectType="Drop" dropLines="2" dropStyle="combo" dx="22" fmlaLink="$AE$10" fmlaRange="$AF$10:$AF$11" sel="2" val="0"/>
</file>

<file path=xl/ctrlProps/ctrlProp7.xml><?xml version="1.0" encoding="utf-8"?>
<formControlPr xmlns="http://schemas.microsoft.com/office/spreadsheetml/2009/9/main" objectType="Drop" dropLines="4" dropStyle="combo" dx="22" fmlaLink="$AE$1" fmlaRange="$AF$1:$AF$4" sel="4" val="0"/>
</file>

<file path=xl/ctrlProps/ctrlProp8.xml><?xml version="1.0" encoding="utf-8"?>
<formControlPr xmlns="http://schemas.microsoft.com/office/spreadsheetml/2009/9/main" objectType="Drop" dropLines="3" dropStyle="combo" dx="22" fmlaLink="$AE$5" fmlaRange="$AF$5:$AF$7" sel="2" val="0"/>
</file>

<file path=xl/ctrlProps/ctrlProp9.xml><?xml version="1.0" encoding="utf-8"?>
<formControlPr xmlns="http://schemas.microsoft.com/office/spreadsheetml/2009/9/main" objectType="Drop" dropLines="2" dropStyle="combo" dx="22" fmlaLink="$AE$8" fmlaRange="$AF$8:$AF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17</xdr:row>
      <xdr:rowOff>27572</xdr:rowOff>
    </xdr:from>
    <xdr:to>
      <xdr:col>16</xdr:col>
      <xdr:colOff>105595</xdr:colOff>
      <xdr:row>29</xdr:row>
      <xdr:rowOff>143485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3656597"/>
          <a:ext cx="3753670" cy="279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0</xdr:rowOff>
        </xdr:from>
        <xdr:to>
          <xdr:col>7</xdr:col>
          <xdr:colOff>552450</xdr:colOff>
          <xdr:row>1</xdr:row>
          <xdr:rowOff>219075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</xdr:row>
          <xdr:rowOff>0</xdr:rowOff>
        </xdr:from>
        <xdr:to>
          <xdr:col>7</xdr:col>
          <xdr:colOff>19050</xdr:colOff>
          <xdr:row>3</xdr:row>
          <xdr:rowOff>0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133350</xdr:colOff>
          <xdr:row>3</xdr:row>
          <xdr:rowOff>219075</xdr:rowOff>
        </xdr:from>
        <xdr:to>
          <xdr:col>9</xdr:col>
          <xdr:colOff>19050</xdr:colOff>
          <xdr:row>4</xdr:row>
          <xdr:rowOff>200025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39</xdr:col>
      <xdr:colOff>142875</xdr:colOff>
      <xdr:row>7</xdr:row>
      <xdr:rowOff>0</xdr:rowOff>
    </xdr:from>
    <xdr:to>
      <xdr:col>45</xdr:col>
      <xdr:colOff>410395</xdr:colOff>
      <xdr:row>23</xdr:row>
      <xdr:rowOff>49238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52B227-6EF2-4C5E-BDC4-B759EB08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2850" y="1733550"/>
          <a:ext cx="3753670" cy="2792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</xdr:row>
          <xdr:rowOff>0</xdr:rowOff>
        </xdr:from>
        <xdr:to>
          <xdr:col>7</xdr:col>
          <xdr:colOff>552450</xdr:colOff>
          <xdr:row>2</xdr:row>
          <xdr:rowOff>219075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3</xdr:row>
          <xdr:rowOff>0</xdr:rowOff>
        </xdr:from>
        <xdr:to>
          <xdr:col>7</xdr:col>
          <xdr:colOff>19050</xdr:colOff>
          <xdr:row>4</xdr:row>
          <xdr:rowOff>0</xdr:rowOff>
        </xdr:to>
        <xdr:sp macro="" textlink="">
          <xdr:nvSpPr>
            <xdr:cNvPr id="14338" name="Drop Dow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133350</xdr:colOff>
          <xdr:row>4</xdr:row>
          <xdr:rowOff>219075</xdr:rowOff>
        </xdr:from>
        <xdr:to>
          <xdr:col>9</xdr:col>
          <xdr:colOff>19050</xdr:colOff>
          <xdr:row>5</xdr:row>
          <xdr:rowOff>200025</xdr:rowOff>
        </xdr:to>
        <xdr:sp macro="" textlink="">
          <xdr:nvSpPr>
            <xdr:cNvPr id="14339" name="Drop Dow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40</xdr:col>
      <xdr:colOff>0</xdr:colOff>
      <xdr:row>8</xdr:row>
      <xdr:rowOff>0</xdr:rowOff>
    </xdr:from>
    <xdr:to>
      <xdr:col>46</xdr:col>
      <xdr:colOff>267520</xdr:colOff>
      <xdr:row>24</xdr:row>
      <xdr:rowOff>49238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EE0762-4829-4EF7-827D-DD1964BD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0" y="1733550"/>
          <a:ext cx="3753670" cy="2792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0</xdr:rowOff>
        </xdr:from>
        <xdr:to>
          <xdr:col>7</xdr:col>
          <xdr:colOff>552450</xdr:colOff>
          <xdr:row>1</xdr:row>
          <xdr:rowOff>219075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</xdr:row>
          <xdr:rowOff>0</xdr:rowOff>
        </xdr:from>
        <xdr:to>
          <xdr:col>7</xdr:col>
          <xdr:colOff>19050</xdr:colOff>
          <xdr:row>3</xdr:row>
          <xdr:rowOff>0</xdr:rowOff>
        </xdr:to>
        <xdr:sp macro="" textlink="">
          <xdr:nvSpPr>
            <xdr:cNvPr id="15362" name="Drop Dow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133350</xdr:colOff>
          <xdr:row>3</xdr:row>
          <xdr:rowOff>219075</xdr:rowOff>
        </xdr:from>
        <xdr:to>
          <xdr:col>9</xdr:col>
          <xdr:colOff>19050</xdr:colOff>
          <xdr:row>4</xdr:row>
          <xdr:rowOff>200025</xdr:rowOff>
        </xdr:to>
        <xdr:sp macro="" textlink="">
          <xdr:nvSpPr>
            <xdr:cNvPr id="15363" name="Drop Dow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40</xdr:col>
      <xdr:colOff>0</xdr:colOff>
      <xdr:row>7</xdr:row>
      <xdr:rowOff>0</xdr:rowOff>
    </xdr:from>
    <xdr:to>
      <xdr:col>46</xdr:col>
      <xdr:colOff>267520</xdr:colOff>
      <xdr:row>23</xdr:row>
      <xdr:rowOff>49238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4BB1F2F-6348-4DC7-AA19-464508DD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0" y="1733550"/>
          <a:ext cx="3753670" cy="2792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0</xdr:rowOff>
        </xdr:from>
        <xdr:to>
          <xdr:col>7</xdr:col>
          <xdr:colOff>552450</xdr:colOff>
          <xdr:row>1</xdr:row>
          <xdr:rowOff>219075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</xdr:row>
          <xdr:rowOff>0</xdr:rowOff>
        </xdr:from>
        <xdr:to>
          <xdr:col>7</xdr:col>
          <xdr:colOff>19050</xdr:colOff>
          <xdr:row>3</xdr:row>
          <xdr:rowOff>0</xdr:rowOff>
        </xdr:to>
        <xdr:sp macro="" textlink="">
          <xdr:nvSpPr>
            <xdr:cNvPr id="16386" name="Drop Dow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5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133350</xdr:colOff>
          <xdr:row>3</xdr:row>
          <xdr:rowOff>219075</xdr:rowOff>
        </xdr:from>
        <xdr:to>
          <xdr:col>9</xdr:col>
          <xdr:colOff>19050</xdr:colOff>
          <xdr:row>4</xdr:row>
          <xdr:rowOff>200025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5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40</xdr:col>
      <xdr:colOff>0</xdr:colOff>
      <xdr:row>7</xdr:row>
      <xdr:rowOff>0</xdr:rowOff>
    </xdr:from>
    <xdr:to>
      <xdr:col>46</xdr:col>
      <xdr:colOff>267520</xdr:colOff>
      <xdr:row>23</xdr:row>
      <xdr:rowOff>49238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AE19FCB-6E49-4E82-9EDE-1C459382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0" y="1733550"/>
          <a:ext cx="3753670" cy="279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8A91-7556-401C-ADDD-99F481F56EB5}">
  <dimension ref="A1:K35"/>
  <sheetViews>
    <sheetView zoomScale="85" zoomScaleNormal="85" workbookViewId="0">
      <selection activeCell="C11" sqref="C11:C14"/>
    </sheetView>
  </sheetViews>
  <sheetFormatPr defaultColWidth="8.7109375" defaultRowHeight="15" x14ac:dyDescent="0.25"/>
  <cols>
    <col min="1" max="1" width="26.5703125" style="23" customWidth="1"/>
    <col min="2" max="2" width="34" style="23" bestFit="1" customWidth="1"/>
    <col min="3" max="3" width="13.28515625" style="23" customWidth="1"/>
    <col min="4" max="8" width="11.7109375" style="23" customWidth="1"/>
    <col min="9" max="10" width="8.7109375" style="23"/>
    <col min="11" max="11" width="11.85546875" style="23" bestFit="1" customWidth="1"/>
    <col min="12" max="12" width="14.140625" style="23" bestFit="1" customWidth="1"/>
    <col min="13" max="16384" width="8.7109375" style="23"/>
  </cols>
  <sheetData>
    <row r="1" spans="1:11" x14ac:dyDescent="0.25">
      <c r="A1" s="70" t="s">
        <v>88</v>
      </c>
      <c r="B1" s="70"/>
      <c r="C1" s="72"/>
      <c r="D1" s="72"/>
      <c r="E1" s="72"/>
      <c r="F1" s="72"/>
      <c r="G1" s="72"/>
      <c r="H1" s="72"/>
      <c r="I1" s="72"/>
      <c r="J1" s="72"/>
      <c r="K1" s="72"/>
    </row>
    <row r="2" spans="1:11" x14ac:dyDescent="0.25">
      <c r="A2" s="70" t="s">
        <v>89</v>
      </c>
      <c r="B2" s="71" t="s">
        <v>85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x14ac:dyDescent="0.25">
      <c r="A3" s="70" t="s">
        <v>90</v>
      </c>
      <c r="B3" s="71" t="s">
        <v>135</v>
      </c>
      <c r="C3" s="72"/>
      <c r="D3" s="72"/>
      <c r="E3" s="72"/>
      <c r="F3" s="72"/>
      <c r="G3" s="72"/>
      <c r="H3" s="72"/>
      <c r="I3" s="72"/>
      <c r="J3" s="72"/>
      <c r="K3" s="72"/>
    </row>
    <row r="4" spans="1:11" x14ac:dyDescent="0.25">
      <c r="A4" s="70" t="s">
        <v>91</v>
      </c>
      <c r="B4" s="79"/>
      <c r="C4" s="72"/>
      <c r="D4" s="72"/>
      <c r="E4" s="72"/>
      <c r="F4" s="72"/>
      <c r="G4" s="72"/>
      <c r="H4" s="72"/>
      <c r="I4" s="72"/>
      <c r="J4" s="72"/>
      <c r="K4" s="72"/>
    </row>
    <row r="5" spans="1:11" x14ac:dyDescent="0.25">
      <c r="A5" s="70" t="s">
        <v>92</v>
      </c>
      <c r="B5" s="71"/>
      <c r="C5" s="72"/>
      <c r="D5" s="72"/>
      <c r="E5" s="72"/>
      <c r="F5" s="72"/>
      <c r="G5" s="72"/>
      <c r="H5" s="72"/>
      <c r="I5" s="72"/>
      <c r="J5" s="72"/>
      <c r="K5" s="72"/>
    </row>
    <row r="6" spans="1:11" x14ac:dyDescent="0.25">
      <c r="A6" s="70" t="s">
        <v>93</v>
      </c>
      <c r="B6" s="70"/>
      <c r="C6" s="72"/>
      <c r="D6" s="72"/>
      <c r="E6" s="72"/>
      <c r="F6" s="72"/>
      <c r="G6" s="72"/>
      <c r="H6" s="72"/>
      <c r="I6" s="72"/>
      <c r="J6" s="72"/>
      <c r="K6" s="72"/>
    </row>
    <row r="7" spans="1:11" ht="15.75" thickBot="1" x14ac:dyDescent="0.3">
      <c r="A7" s="70" t="s">
        <v>94</v>
      </c>
      <c r="B7" s="70"/>
      <c r="C7" s="72"/>
      <c r="D7" s="72"/>
      <c r="E7" s="72"/>
      <c r="F7" s="72"/>
      <c r="G7" s="72"/>
      <c r="H7" s="72"/>
      <c r="I7" s="72"/>
      <c r="J7" s="72"/>
      <c r="K7" s="72"/>
    </row>
    <row r="8" spans="1:11" x14ac:dyDescent="0.25">
      <c r="A8" s="72"/>
      <c r="B8" s="72"/>
      <c r="C8" s="136" t="s">
        <v>86</v>
      </c>
      <c r="D8" s="138" t="s">
        <v>87</v>
      </c>
      <c r="E8" s="139"/>
      <c r="F8" s="139"/>
      <c r="G8" s="140"/>
      <c r="H8" s="72"/>
      <c r="I8" s="72"/>
      <c r="J8" s="72"/>
      <c r="K8" s="72"/>
    </row>
    <row r="9" spans="1:11" x14ac:dyDescent="0.25">
      <c r="A9" s="72"/>
      <c r="B9" s="72"/>
      <c r="C9" s="137"/>
      <c r="D9" s="132" t="s">
        <v>82</v>
      </c>
      <c r="E9" s="134" t="s">
        <v>81</v>
      </c>
      <c r="F9" s="57" t="s">
        <v>79</v>
      </c>
      <c r="G9" s="61" t="s">
        <v>80</v>
      </c>
      <c r="H9" s="72"/>
      <c r="I9" s="72"/>
      <c r="J9" s="72"/>
      <c r="K9" s="72"/>
    </row>
    <row r="10" spans="1:11" ht="14.25" customHeight="1" x14ac:dyDescent="0.25">
      <c r="A10" s="72"/>
      <c r="B10" s="72"/>
      <c r="C10" s="137"/>
      <c r="D10" s="133"/>
      <c r="E10" s="135"/>
      <c r="F10" s="109" t="s">
        <v>95</v>
      </c>
      <c r="G10" s="110" t="s">
        <v>78</v>
      </c>
      <c r="H10" s="72"/>
      <c r="I10" s="72"/>
      <c r="J10" s="72"/>
      <c r="K10" s="72"/>
    </row>
    <row r="11" spans="1:11" ht="13.5" customHeight="1" x14ac:dyDescent="0.25">
      <c r="A11" s="72"/>
      <c r="B11" s="72"/>
      <c r="C11" s="73">
        <v>40</v>
      </c>
      <c r="D11" s="80">
        <f>Vloer!AM18</f>
        <v>1.3218581093758985</v>
      </c>
      <c r="E11" s="59">
        <f>Gevel!AM17</f>
        <v>1.2083507549361208</v>
      </c>
      <c r="F11" s="59">
        <f>'Dak ononderbroken'!AM17</f>
        <v>1.3972859750425848</v>
      </c>
      <c r="G11" s="74">
        <f>'Dak tussen de gordingen'!AM17</f>
        <v>1.315890410958904</v>
      </c>
      <c r="H11" s="72"/>
      <c r="I11" s="72"/>
      <c r="J11" s="72"/>
      <c r="K11" s="72"/>
    </row>
    <row r="12" spans="1:11" ht="13.5" customHeight="1" x14ac:dyDescent="0.25">
      <c r="A12" s="72"/>
      <c r="B12" s="72"/>
      <c r="C12" s="73">
        <v>50</v>
      </c>
      <c r="D12" s="80">
        <f>Vloer!AM19</f>
        <v>1.6156443332106931</v>
      </c>
      <c r="E12" s="59">
        <f>Gevel!AM18</f>
        <v>1.41373967814115</v>
      </c>
      <c r="F12" s="59">
        <f>'Dak ononderbroken'!AM18</f>
        <v>1.6920068813092919</v>
      </c>
      <c r="G12" s="74">
        <f>'Dak tussen de gordingen'!AM18</f>
        <v>1.58986301369863</v>
      </c>
      <c r="H12" s="72"/>
      <c r="I12" s="72"/>
      <c r="J12" s="72"/>
      <c r="K12" s="72"/>
    </row>
    <row r="13" spans="1:11" ht="13.5" customHeight="1" x14ac:dyDescent="0.25">
      <c r="A13" s="72"/>
      <c r="B13" s="72"/>
      <c r="C13" s="73">
        <v>60</v>
      </c>
      <c r="D13" s="80">
        <f>Vloer!AM20</f>
        <v>1.9094734048923705</v>
      </c>
      <c r="E13" s="59">
        <f>Gevel!AM19</f>
        <v>1.6185495962495611</v>
      </c>
      <c r="F13" s="59">
        <f>'Dak ononderbroken'!AM19</f>
        <v>1.9867371002190333</v>
      </c>
      <c r="G13" s="74">
        <f>'Dak tussen de gordingen'!AM19</f>
        <v>1.8638356164383558</v>
      </c>
      <c r="H13" s="72"/>
      <c r="I13" s="72"/>
      <c r="J13" s="72"/>
      <c r="K13" s="72"/>
    </row>
    <row r="14" spans="1:11" ht="13.5" customHeight="1" x14ac:dyDescent="0.25">
      <c r="A14" s="72"/>
      <c r="B14" s="72"/>
      <c r="C14" s="73">
        <v>70</v>
      </c>
      <c r="D14" s="80">
        <f>Vloer!AM21</f>
        <v>2.2033290519293742</v>
      </c>
      <c r="E14" s="59">
        <f>Gevel!AM20</f>
        <v>1.8229877594077957</v>
      </c>
      <c r="F14" s="59">
        <f>'Dak ononderbroken'!AM20</f>
        <v>2.2814728417206371</v>
      </c>
      <c r="G14" s="74">
        <f>'Dak tussen de gordingen'!AM20</f>
        <v>2.1378082191780821</v>
      </c>
      <c r="H14" s="72"/>
      <c r="I14" s="72"/>
      <c r="J14" s="72"/>
      <c r="K14" s="72"/>
    </row>
    <row r="15" spans="1:11" ht="13.5" customHeight="1" x14ac:dyDescent="0.25">
      <c r="A15" s="72"/>
      <c r="B15" s="72"/>
      <c r="C15" s="73">
        <v>80</v>
      </c>
      <c r="D15" s="80">
        <f>Vloer!AM22</f>
        <v>2.4972023157712191</v>
      </c>
      <c r="E15" s="59">
        <f>Gevel!AM21</f>
        <v>2.0271730499450236</v>
      </c>
      <c r="F15" s="59">
        <f>'Dak ononderbroken'!AM21</f>
        <v>2.5762121267181515</v>
      </c>
      <c r="G15" s="74">
        <f>'Dak tussen de gordingen'!AM21</f>
        <v>2.4117808219178083</v>
      </c>
      <c r="H15" s="72"/>
      <c r="I15" s="72"/>
      <c r="J15" s="72"/>
      <c r="K15" s="72"/>
    </row>
    <row r="16" spans="1:11" ht="13.5" customHeight="1" x14ac:dyDescent="0.25">
      <c r="A16" s="72"/>
      <c r="B16" s="72"/>
      <c r="C16" s="73">
        <v>90</v>
      </c>
      <c r="D16" s="80">
        <f>Vloer!AM23</f>
        <v>2.7910878576892104</v>
      </c>
      <c r="E16" s="59">
        <f>Gevel!AM22</f>
        <v>2.2349999999999999</v>
      </c>
      <c r="F16" s="59">
        <f>'Dak ononderbroken'!AM22</f>
        <v>2.8709538208555649</v>
      </c>
      <c r="G16" s="74">
        <f>'Dak tussen de gordingen'!AM22</f>
        <v>2.6857534246575341</v>
      </c>
      <c r="H16" s="72"/>
      <c r="I16" s="72"/>
      <c r="J16" s="72"/>
      <c r="K16" s="72"/>
    </row>
    <row r="17" spans="1:11" ht="13.5" customHeight="1" x14ac:dyDescent="0.25">
      <c r="A17" s="72"/>
      <c r="B17" s="72"/>
      <c r="C17" s="73">
        <v>100</v>
      </c>
      <c r="D17" s="80">
        <f>Vloer!AM24</f>
        <v>3.0849822982221404</v>
      </c>
      <c r="E17" s="59">
        <f>Gevel!AM23</f>
        <v>2.4433333333333334</v>
      </c>
      <c r="F17" s="59">
        <f>'Dak ononderbroken'!AM23</f>
        <v>3.1656972272713504</v>
      </c>
      <c r="G17" s="74">
        <f>'Dak tussen de gordingen'!AM23</f>
        <v>2.9597260273972603</v>
      </c>
      <c r="H17" s="72"/>
      <c r="I17" s="72"/>
      <c r="J17" s="72"/>
      <c r="K17" s="72"/>
    </row>
    <row r="18" spans="1:11" ht="13.5" customHeight="1" x14ac:dyDescent="0.25">
      <c r="A18" s="72"/>
      <c r="B18" s="72"/>
      <c r="C18" s="73">
        <v>110</v>
      </c>
      <c r="D18" s="80">
        <f>Vloer!AM25</f>
        <v>3.378883393915781</v>
      </c>
      <c r="E18" s="59">
        <f>Gevel!AM24</f>
        <v>2.6516666666666664</v>
      </c>
      <c r="F18" s="59">
        <f>'Dak ononderbroken'!AM24</f>
        <v>3.4604418942320745</v>
      </c>
      <c r="G18" s="74">
        <f>'Dak tussen de gordingen'!AM24</f>
        <v>3.2336986301369861</v>
      </c>
      <c r="H18" s="72"/>
      <c r="I18" s="72"/>
      <c r="J18" s="72"/>
      <c r="K18" s="72"/>
    </row>
    <row r="19" spans="1:11" ht="13.5" customHeight="1" x14ac:dyDescent="0.25">
      <c r="A19" s="72"/>
      <c r="B19" s="72"/>
      <c r="C19" s="73">
        <v>120</v>
      </c>
      <c r="D19" s="80">
        <f>Vloer!AM26</f>
        <v>3.6727895969909277</v>
      </c>
      <c r="E19" s="59">
        <f>Gevel!AM25</f>
        <v>2.86</v>
      </c>
      <c r="F19" s="59">
        <f>'Dak ononderbroken'!AM25</f>
        <v>3.7551875160618078</v>
      </c>
      <c r="G19" s="74">
        <f>'Dak tussen de gordingen'!AM25</f>
        <v>3.5076712328767123</v>
      </c>
      <c r="H19" s="72"/>
      <c r="I19" s="72"/>
      <c r="J19" s="72"/>
      <c r="K19" s="72"/>
    </row>
    <row r="20" spans="1:11" ht="13.5" customHeight="1" x14ac:dyDescent="0.25">
      <c r="A20" s="72"/>
      <c r="B20" s="72"/>
      <c r="C20" s="73">
        <v>130</v>
      </c>
      <c r="D20" s="80">
        <f>Vloer!AM27</f>
        <v>3.9666998050904669</v>
      </c>
      <c r="E20" s="59">
        <f>Gevel!AM26</f>
        <v>3.0683333333333334</v>
      </c>
      <c r="F20" s="59">
        <f>'Dak ononderbroken'!AM26</f>
        <v>4.0499338785264332</v>
      </c>
      <c r="G20" s="74">
        <f>'Dak tussen de gordingen'!AM26</f>
        <v>3.7816438356164386</v>
      </c>
      <c r="H20" s="72"/>
      <c r="I20" s="72"/>
      <c r="J20" s="72"/>
      <c r="K20" s="72"/>
    </row>
    <row r="21" spans="1:11" ht="13.5" customHeight="1" x14ac:dyDescent="0.25">
      <c r="A21" s="72"/>
      <c r="B21" s="72"/>
      <c r="C21" s="73">
        <v>140</v>
      </c>
      <c r="D21" s="80">
        <f>Vloer!AM28</f>
        <v>4.2606132118032418</v>
      </c>
      <c r="E21" s="59">
        <f>Gevel!AM27</f>
        <v>3.2766666666666668</v>
      </c>
      <c r="F21" s="59">
        <f>'Dak ononderbroken'!AM27</f>
        <v>4.344680827019797</v>
      </c>
      <c r="G21" s="74">
        <f>'Dak tussen de gordingen'!AM27</f>
        <v>4.0556164383561644</v>
      </c>
      <c r="H21" s="72"/>
      <c r="I21" s="72"/>
      <c r="J21" s="72"/>
      <c r="K21" s="72"/>
    </row>
    <row r="22" spans="1:11" ht="13.5" customHeight="1" x14ac:dyDescent="0.25">
      <c r="A22" s="72"/>
      <c r="B22" s="72"/>
      <c r="C22" s="73">
        <v>150</v>
      </c>
      <c r="D22" s="80">
        <f>Vloer!AM29</f>
        <v>4.5545292135959921</v>
      </c>
      <c r="E22" s="59">
        <f>Gevel!AM28</f>
        <v>3.4849999999999999</v>
      </c>
      <c r="F22" s="59">
        <f>'Dak ononderbroken'!AM28</f>
        <v>4.63942824716794</v>
      </c>
      <c r="G22" s="74">
        <f>'Dak tussen de gordingen'!AM28</f>
        <v>4.3295890410958897</v>
      </c>
      <c r="H22" s="72"/>
      <c r="I22" s="72"/>
      <c r="J22" s="72"/>
      <c r="K22" s="72"/>
    </row>
    <row r="23" spans="1:11" ht="13.5" customHeight="1" x14ac:dyDescent="0.25">
      <c r="A23" s="72"/>
      <c r="B23" s="72"/>
      <c r="C23" s="73">
        <v>160</v>
      </c>
      <c r="D23" s="80">
        <f>Vloer!AM30</f>
        <v>4.8484473497883203</v>
      </c>
      <c r="E23" s="59">
        <f>Gevel!AM29</f>
        <v>3.6933333333333338</v>
      </c>
      <c r="F23" s="59">
        <f>'Dak ononderbroken'!AM29</f>
        <v>4.9341760525417513</v>
      </c>
      <c r="G23" s="74">
        <f>'Dak tussen de gordingen'!AM29</f>
        <v>4.6035616438356159</v>
      </c>
      <c r="H23" s="72"/>
      <c r="I23" s="72"/>
      <c r="J23" s="72"/>
      <c r="K23" s="72"/>
    </row>
    <row r="24" spans="1:11" ht="13.5" customHeight="1" x14ac:dyDescent="0.25">
      <c r="A24" s="72"/>
      <c r="B24" s="72"/>
      <c r="C24" s="73">
        <v>170</v>
      </c>
      <c r="D24" s="80">
        <f>Vloer!AM31</f>
        <v>5.1423672626483965</v>
      </c>
      <c r="E24" s="59">
        <f>Gevel!AM30</f>
        <v>3.9016666666666668</v>
      </c>
      <c r="F24" s="59">
        <f>'Dak ononderbroken'!AM30</f>
        <v>5.2289241766136065</v>
      </c>
      <c r="G24" s="74">
        <f>'Dak tussen de gordingen'!AM30</f>
        <v>4.8775342465753422</v>
      </c>
      <c r="H24" s="72"/>
      <c r="I24" s="72"/>
      <c r="J24" s="72"/>
      <c r="K24" s="72"/>
    </row>
    <row r="25" spans="1:11" ht="13.5" customHeight="1" x14ac:dyDescent="0.25">
      <c r="A25" s="72"/>
      <c r="B25" s="72"/>
      <c r="C25" s="73">
        <v>180</v>
      </c>
      <c r="D25" s="80">
        <f>Vloer!AM32</f>
        <v>5.4362886701570847</v>
      </c>
      <c r="E25" s="59">
        <f>Gevel!AM31</f>
        <v>4.1100000000000003</v>
      </c>
      <c r="F25" s="59">
        <f>'Dak ononderbroken'!AM31</f>
        <v>5.5236725673409364</v>
      </c>
      <c r="G25" s="74">
        <f>'Dak tussen de gordingen'!AM31</f>
        <v>5.1515068493150675</v>
      </c>
      <c r="H25" s="72"/>
      <c r="I25" s="72"/>
      <c r="J25" s="72"/>
      <c r="K25" s="72"/>
    </row>
    <row r="26" spans="1:11" ht="13.5" customHeight="1" x14ac:dyDescent="0.25">
      <c r="A26" s="72"/>
      <c r="B26" s="72"/>
      <c r="C26" s="73">
        <v>190</v>
      </c>
      <c r="D26" s="80">
        <f>Vloer!AM33</f>
        <v>5.7302113469841105</v>
      </c>
      <c r="E26" s="59">
        <f>Gevel!AM32</f>
        <v>4.3183333333333342</v>
      </c>
      <c r="F26" s="59">
        <f>'Dak ononderbroken'!AM32</f>
        <v>5.8184211834274491</v>
      </c>
      <c r="G26" s="74">
        <f>'Dak tussen de gordingen'!AM32</f>
        <v>5.4254794520547938</v>
      </c>
      <c r="H26" s="72"/>
      <c r="I26" s="72"/>
      <c r="J26" s="72"/>
      <c r="K26" s="72"/>
    </row>
    <row r="27" spans="1:11" ht="13.5" customHeight="1" x14ac:dyDescent="0.25">
      <c r="A27" s="72"/>
      <c r="B27" s="72"/>
      <c r="C27" s="73">
        <v>200</v>
      </c>
      <c r="D27" s="80">
        <f>Vloer!AM34</f>
        <v>6.0241351109257719</v>
      </c>
      <c r="E27" s="59">
        <f>Gevel!AM33</f>
        <v>4.5266666666666673</v>
      </c>
      <c r="F27" s="59">
        <f>'Dak ononderbroken'!AM33</f>
        <v>6.1131699916855347</v>
      </c>
      <c r="G27" s="74">
        <f>'Dak tussen de gordingen'!AM33</f>
        <v>5.69945205479452</v>
      </c>
      <c r="H27" s="72"/>
      <c r="I27" s="72"/>
      <c r="J27" s="72"/>
      <c r="K27" s="72"/>
    </row>
    <row r="28" spans="1:11" ht="13.5" customHeight="1" x14ac:dyDescent="0.25">
      <c r="A28" s="72"/>
      <c r="B28" s="72"/>
      <c r="C28" s="73">
        <v>210</v>
      </c>
      <c r="D28" s="80">
        <f>Vloer!AM35</f>
        <v>6.3180598130584329</v>
      </c>
      <c r="E28" s="59">
        <f>Gevel!AM34</f>
        <v>4.7350000000000003</v>
      </c>
      <c r="F28" s="59">
        <f>'Dak ononderbroken'!AM34</f>
        <v>6.4079189651391832</v>
      </c>
      <c r="G28" s="74">
        <f>'Dak tussen de gordingen'!AM34</f>
        <v>5.9734246575342453</v>
      </c>
      <c r="H28" s="72"/>
      <c r="I28" s="72"/>
      <c r="J28" s="72"/>
      <c r="K28" s="72"/>
    </row>
    <row r="29" spans="1:11" ht="13.5" customHeight="1" thickBot="1" x14ac:dyDescent="0.3">
      <c r="A29" s="72"/>
      <c r="B29" s="72"/>
      <c r="C29" s="75">
        <v>220</v>
      </c>
      <c r="D29" s="81">
        <f>Vloer!AM36</f>
        <v>6.6119853304719651</v>
      </c>
      <c r="E29" s="60">
        <f>Gevel!AM35</f>
        <v>4.9433333333333334</v>
      </c>
      <c r="F29" s="60">
        <f>'Dak ononderbroken'!AM35</f>
        <v>6.7026680816356921</v>
      </c>
      <c r="G29" s="76">
        <f>'Dak tussen de gordingen'!AM35</f>
        <v>6.2473972602739716</v>
      </c>
      <c r="H29" s="72"/>
      <c r="I29" s="72"/>
      <c r="J29" s="72"/>
      <c r="K29" s="72"/>
    </row>
    <row r="30" spans="1:11" ht="13.5" customHeight="1" x14ac:dyDescent="0.25">
      <c r="A30" s="77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ht="13.5" customHeight="1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ht="13.5" customHeight="1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ht="13.5" customHeigh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ht="13.5" customHeight="1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1" ht="13.5" customHeight="1" x14ac:dyDescent="0.25"/>
  </sheetData>
  <sheetProtection selectLockedCells="1"/>
  <mergeCells count="4">
    <mergeCell ref="D9:D10"/>
    <mergeCell ref="E9:E10"/>
    <mergeCell ref="C8:C10"/>
    <mergeCell ref="D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792B-D8F3-4CF3-977C-CE938DBA2B71}">
  <dimension ref="A1:J53"/>
  <sheetViews>
    <sheetView workbookViewId="0">
      <selection activeCell="F18" sqref="F18"/>
    </sheetView>
  </sheetViews>
  <sheetFormatPr defaultRowHeight="15" x14ac:dyDescent="0.25"/>
  <cols>
    <col min="1" max="1" width="13" customWidth="1"/>
    <col min="2" max="2" width="17.7109375" customWidth="1"/>
    <col min="3" max="3" width="37" customWidth="1"/>
    <col min="4" max="4" width="2.85546875" customWidth="1"/>
    <col min="5" max="5" width="13.28515625" bestFit="1" customWidth="1"/>
    <col min="10" max="10" width="10.28515625" customWidth="1"/>
  </cols>
  <sheetData>
    <row r="1" spans="1:7" x14ac:dyDescent="0.25">
      <c r="A1" t="s">
        <v>138</v>
      </c>
    </row>
    <row r="2" spans="1:7" x14ac:dyDescent="0.25">
      <c r="A2" t="s">
        <v>139</v>
      </c>
    </row>
    <row r="4" spans="1:7" x14ac:dyDescent="0.25">
      <c r="A4" t="s">
        <v>141</v>
      </c>
    </row>
    <row r="5" spans="1:7" ht="28.5" customHeight="1" x14ac:dyDescent="0.25">
      <c r="A5" s="85" t="s">
        <v>137</v>
      </c>
    </row>
    <row r="6" spans="1:7" x14ac:dyDescent="0.25">
      <c r="A6" s="141" t="s">
        <v>112</v>
      </c>
      <c r="B6" s="142"/>
      <c r="C6" s="143"/>
    </row>
    <row r="7" spans="1:7" x14ac:dyDescent="0.25">
      <c r="A7" s="86" t="s">
        <v>103</v>
      </c>
      <c r="B7" s="87" t="s">
        <v>113</v>
      </c>
      <c r="C7" s="88" t="s">
        <v>104</v>
      </c>
    </row>
    <row r="8" spans="1:7" x14ac:dyDescent="0.25">
      <c r="A8" s="89">
        <v>1</v>
      </c>
      <c r="B8" s="89"/>
      <c r="C8" s="90">
        <v>0</v>
      </c>
    </row>
    <row r="9" spans="1:7" x14ac:dyDescent="0.25">
      <c r="A9" s="89">
        <v>2</v>
      </c>
      <c r="B9" s="89"/>
      <c r="C9" s="90">
        <v>0</v>
      </c>
    </row>
    <row r="10" spans="1:7" x14ac:dyDescent="0.25">
      <c r="A10" s="89">
        <v>3</v>
      </c>
      <c r="B10" s="89"/>
      <c r="C10" s="90">
        <v>0</v>
      </c>
    </row>
    <row r="11" spans="1:7" x14ac:dyDescent="0.25">
      <c r="A11" s="89">
        <v>4</v>
      </c>
      <c r="B11" s="89"/>
      <c r="C11" s="90">
        <v>0</v>
      </c>
      <c r="E11" s="114" t="s">
        <v>140</v>
      </c>
    </row>
    <row r="12" spans="1:7" ht="15.75" thickBot="1" x14ac:dyDescent="0.3">
      <c r="A12" s="89">
        <v>5</v>
      </c>
      <c r="B12" s="89"/>
      <c r="C12" s="90">
        <v>0</v>
      </c>
    </row>
    <row r="13" spans="1:7" ht="15.75" thickTop="1" x14ac:dyDescent="0.25">
      <c r="A13" s="89">
        <v>6</v>
      </c>
      <c r="B13" s="89"/>
      <c r="C13" s="90">
        <v>0</v>
      </c>
      <c r="E13" s="124" t="s">
        <v>105</v>
      </c>
      <c r="F13" s="125">
        <f>C18</f>
        <v>0</v>
      </c>
    </row>
    <row r="14" spans="1:7" x14ac:dyDescent="0.25">
      <c r="A14" s="89">
        <v>7</v>
      </c>
      <c r="B14" s="89"/>
      <c r="C14" s="90">
        <v>0</v>
      </c>
      <c r="E14" s="126" t="s">
        <v>106</v>
      </c>
      <c r="F14" s="127">
        <f>COUNT(C8:C17)</f>
        <v>10</v>
      </c>
    </row>
    <row r="15" spans="1:7" x14ac:dyDescent="0.25">
      <c r="A15" s="89">
        <v>8</v>
      </c>
      <c r="B15" s="89"/>
      <c r="C15" s="90">
        <v>0</v>
      </c>
      <c r="E15" s="126" t="s">
        <v>107</v>
      </c>
      <c r="F15" s="128"/>
      <c r="G15" t="s">
        <v>129</v>
      </c>
    </row>
    <row r="16" spans="1:7" x14ac:dyDescent="0.25">
      <c r="A16" s="89">
        <v>9</v>
      </c>
      <c r="B16" s="89"/>
      <c r="C16" s="90">
        <v>0</v>
      </c>
      <c r="E16" s="126" t="s">
        <v>108</v>
      </c>
      <c r="F16" s="129">
        <f>STDEV(C8:C17)</f>
        <v>0</v>
      </c>
      <c r="G16" t="s">
        <v>130</v>
      </c>
    </row>
    <row r="17" spans="1:10" ht="15.75" thickBot="1" x14ac:dyDescent="0.3">
      <c r="A17" s="89">
        <v>10</v>
      </c>
      <c r="B17" s="91"/>
      <c r="C17" s="92">
        <v>0</v>
      </c>
      <c r="E17" s="130" t="s">
        <v>109</v>
      </c>
      <c r="F17" s="131">
        <f>(F13)+(F15*F16)</f>
        <v>0</v>
      </c>
      <c r="G17" t="s">
        <v>131</v>
      </c>
    </row>
    <row r="18" spans="1:10" ht="16.5" thickTop="1" thickBot="1" x14ac:dyDescent="0.3">
      <c r="A18" s="95"/>
      <c r="B18" s="96" t="s">
        <v>111</v>
      </c>
      <c r="C18" s="97">
        <f>SUM(C8:C17)/10</f>
        <v>0</v>
      </c>
      <c r="D18" s="95" t="s">
        <v>114</v>
      </c>
      <c r="E18" s="93" t="s">
        <v>110</v>
      </c>
      <c r="F18" s="94">
        <v>0.03</v>
      </c>
      <c r="G18" t="s">
        <v>132</v>
      </c>
      <c r="J18" s="115" t="s">
        <v>136</v>
      </c>
    </row>
    <row r="21" spans="1:10" ht="15.75" thickBot="1" x14ac:dyDescent="0.3">
      <c r="A21" s="108" t="s">
        <v>125</v>
      </c>
      <c r="E21" s="95"/>
    </row>
    <row r="22" spans="1:10" ht="43.5" thickBot="1" x14ac:dyDescent="0.3">
      <c r="A22" s="116" t="s">
        <v>126</v>
      </c>
      <c r="B22" s="117" t="s">
        <v>107</v>
      </c>
      <c r="E22" s="95"/>
    </row>
    <row r="23" spans="1:10" x14ac:dyDescent="0.25">
      <c r="A23" s="118">
        <v>3</v>
      </c>
      <c r="B23" s="119">
        <v>4.26</v>
      </c>
      <c r="E23" s="95"/>
    </row>
    <row r="24" spans="1:10" x14ac:dyDescent="0.25">
      <c r="A24" s="120">
        <v>4</v>
      </c>
      <c r="B24" s="121">
        <v>3.19</v>
      </c>
      <c r="E24" s="95"/>
    </row>
    <row r="25" spans="1:10" x14ac:dyDescent="0.25">
      <c r="A25" s="120">
        <v>5</v>
      </c>
      <c r="B25" s="121">
        <v>2.74</v>
      </c>
      <c r="E25" s="95"/>
    </row>
    <row r="26" spans="1:10" x14ac:dyDescent="0.25">
      <c r="A26" s="120">
        <v>6</v>
      </c>
      <c r="B26" s="121">
        <v>2.4900000000000002</v>
      </c>
      <c r="E26" s="95"/>
    </row>
    <row r="27" spans="1:10" x14ac:dyDescent="0.25">
      <c r="A27" s="120">
        <v>7</v>
      </c>
      <c r="B27" s="121">
        <v>2.33</v>
      </c>
      <c r="E27" s="95"/>
    </row>
    <row r="28" spans="1:10" x14ac:dyDescent="0.25">
      <c r="A28" s="120">
        <v>8</v>
      </c>
      <c r="B28" s="121">
        <v>2.2200000000000002</v>
      </c>
      <c r="E28" s="95"/>
    </row>
    <row r="29" spans="1:10" x14ac:dyDescent="0.25">
      <c r="A29" s="120">
        <v>9</v>
      </c>
      <c r="B29" s="121">
        <v>2.13</v>
      </c>
      <c r="E29" s="95"/>
    </row>
    <row r="30" spans="1:10" x14ac:dyDescent="0.25">
      <c r="A30" s="120">
        <v>10</v>
      </c>
      <c r="B30" s="121">
        <v>2.0699999999999998</v>
      </c>
      <c r="E30" s="95"/>
    </row>
    <row r="31" spans="1:10" x14ac:dyDescent="0.25">
      <c r="A31" s="120">
        <v>11</v>
      </c>
      <c r="B31" s="121">
        <v>2.0099999999999998</v>
      </c>
      <c r="E31" s="95"/>
    </row>
    <row r="32" spans="1:10" x14ac:dyDescent="0.25">
      <c r="A32" s="120">
        <v>12</v>
      </c>
      <c r="B32" s="121">
        <v>1.97</v>
      </c>
      <c r="E32" s="95"/>
    </row>
    <row r="33" spans="1:5" x14ac:dyDescent="0.25">
      <c r="A33" s="120">
        <v>13</v>
      </c>
      <c r="B33" s="121">
        <v>1.93</v>
      </c>
      <c r="E33" s="95"/>
    </row>
    <row r="34" spans="1:5" x14ac:dyDescent="0.25">
      <c r="A34" s="120">
        <v>14</v>
      </c>
      <c r="B34" s="121">
        <v>1.9</v>
      </c>
      <c r="E34" s="95"/>
    </row>
    <row r="35" spans="1:5" x14ac:dyDescent="0.25">
      <c r="A35" s="120">
        <v>15</v>
      </c>
      <c r="B35" s="121">
        <v>1.87</v>
      </c>
      <c r="E35" s="95"/>
    </row>
    <row r="36" spans="1:5" x14ac:dyDescent="0.25">
      <c r="A36" s="120">
        <v>16</v>
      </c>
      <c r="B36" s="121">
        <v>1.84</v>
      </c>
      <c r="E36" s="95"/>
    </row>
    <row r="37" spans="1:5" x14ac:dyDescent="0.25">
      <c r="A37" s="120">
        <v>17</v>
      </c>
      <c r="B37" s="121">
        <v>1.82</v>
      </c>
      <c r="E37" s="95"/>
    </row>
    <row r="38" spans="1:5" x14ac:dyDescent="0.25">
      <c r="A38" s="120">
        <v>18</v>
      </c>
      <c r="B38" s="121">
        <v>1.8</v>
      </c>
      <c r="E38" s="95"/>
    </row>
    <row r="39" spans="1:5" x14ac:dyDescent="0.25">
      <c r="A39" s="120">
        <v>19</v>
      </c>
      <c r="B39" s="121">
        <v>1.78</v>
      </c>
      <c r="E39" s="95"/>
    </row>
    <row r="40" spans="1:5" x14ac:dyDescent="0.25">
      <c r="A40" s="120">
        <v>20</v>
      </c>
      <c r="B40" s="121">
        <v>1.77</v>
      </c>
      <c r="E40" s="95"/>
    </row>
    <row r="41" spans="1:5" x14ac:dyDescent="0.25">
      <c r="A41" s="120">
        <v>22</v>
      </c>
      <c r="B41" s="121">
        <v>1.74</v>
      </c>
      <c r="E41" s="95"/>
    </row>
    <row r="42" spans="1:5" x14ac:dyDescent="0.25">
      <c r="A42" s="120">
        <v>24</v>
      </c>
      <c r="B42" s="121">
        <v>1.71</v>
      </c>
      <c r="E42" s="95"/>
    </row>
    <row r="43" spans="1:5" x14ac:dyDescent="0.25">
      <c r="A43" s="120">
        <v>25</v>
      </c>
      <c r="B43" s="121">
        <v>1.7</v>
      </c>
      <c r="E43" s="95"/>
    </row>
    <row r="44" spans="1:5" x14ac:dyDescent="0.25">
      <c r="A44" s="120">
        <v>30</v>
      </c>
      <c r="B44" s="121">
        <v>1.66</v>
      </c>
      <c r="E44" s="95"/>
    </row>
    <row r="45" spans="1:5" x14ac:dyDescent="0.25">
      <c r="A45" s="120">
        <v>35</v>
      </c>
      <c r="B45" s="121">
        <v>1.62</v>
      </c>
      <c r="E45" s="95"/>
    </row>
    <row r="46" spans="1:5" x14ac:dyDescent="0.25">
      <c r="A46" s="120">
        <v>40</v>
      </c>
      <c r="B46" s="121">
        <v>1.6</v>
      </c>
      <c r="E46" s="95"/>
    </row>
    <row r="47" spans="1:5" x14ac:dyDescent="0.25">
      <c r="A47" s="120">
        <v>45</v>
      </c>
      <c r="B47" s="121">
        <v>1.58</v>
      </c>
      <c r="E47" s="95"/>
    </row>
    <row r="48" spans="1:5" x14ac:dyDescent="0.25">
      <c r="A48" s="120">
        <v>50</v>
      </c>
      <c r="B48" s="121">
        <v>1.56</v>
      </c>
      <c r="E48" s="95"/>
    </row>
    <row r="49" spans="1:5" x14ac:dyDescent="0.25">
      <c r="A49" s="120">
        <v>100</v>
      </c>
      <c r="B49" s="121">
        <v>1.47</v>
      </c>
      <c r="E49" s="95"/>
    </row>
    <row r="50" spans="1:5" x14ac:dyDescent="0.25">
      <c r="A50" s="120">
        <v>300</v>
      </c>
      <c r="B50" s="121">
        <v>1.39</v>
      </c>
      <c r="E50" s="95"/>
    </row>
    <row r="51" spans="1:5" x14ac:dyDescent="0.25">
      <c r="A51" s="120">
        <v>500</v>
      </c>
      <c r="B51" s="121">
        <v>1.36</v>
      </c>
      <c r="E51" s="95"/>
    </row>
    <row r="52" spans="1:5" ht="15.75" thickBot="1" x14ac:dyDescent="0.3">
      <c r="A52" s="122" t="s">
        <v>127</v>
      </c>
      <c r="B52" s="123">
        <v>1.32</v>
      </c>
      <c r="E52" s="95"/>
    </row>
    <row r="53" spans="1:5" ht="96.75" customHeight="1" thickBot="1" x14ac:dyDescent="0.3">
      <c r="A53" s="144" t="s">
        <v>128</v>
      </c>
      <c r="B53" s="145"/>
      <c r="E53" s="95"/>
    </row>
  </sheetData>
  <mergeCells count="2">
    <mergeCell ref="A6:C6"/>
    <mergeCell ref="A53:B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669D-825E-419D-8040-F42479B4D2E8}">
  <dimension ref="A1:AP38"/>
  <sheetViews>
    <sheetView tabSelected="1" zoomScaleNormal="100" workbookViewId="0">
      <selection activeCell="S1" sqref="S1:AD2"/>
    </sheetView>
  </sheetViews>
  <sheetFormatPr defaultColWidth="8.7109375" defaultRowHeight="15" x14ac:dyDescent="0.25"/>
  <cols>
    <col min="1" max="1" width="4.5703125" style="23" customWidth="1"/>
    <col min="2" max="2" width="4.140625" style="23" customWidth="1"/>
    <col min="3" max="3" width="9.140625" style="23" customWidth="1"/>
    <col min="4" max="4" width="4.42578125" style="23" customWidth="1"/>
    <col min="5" max="5" width="7.85546875" style="23" customWidth="1"/>
    <col min="6" max="6" width="4.140625" style="23" customWidth="1"/>
    <col min="7" max="7" width="4.42578125" style="23" customWidth="1"/>
    <col min="8" max="8" width="8.28515625" style="23" bestFit="1" customWidth="1"/>
    <col min="9" max="9" width="8.7109375" style="23"/>
    <col min="10" max="10" width="4.140625" style="23" customWidth="1"/>
    <col min="11" max="11" width="8.42578125" style="23" customWidth="1"/>
    <col min="12" max="12" width="7.7109375" style="23" customWidth="1"/>
    <col min="13" max="13" width="9.140625" style="23" customWidth="1"/>
    <col min="14" max="14" width="3.85546875" style="23" customWidth="1"/>
    <col min="15" max="15" width="7.140625" style="23" customWidth="1"/>
    <col min="16" max="16" width="4.5703125" style="23" customWidth="1"/>
    <col min="17" max="17" width="8.140625" style="23" customWidth="1"/>
    <col min="18" max="18" width="8.7109375" style="23"/>
    <col min="19" max="21" width="7" style="23" customWidth="1"/>
    <col min="22" max="22" width="4.140625" style="23" customWidth="1"/>
    <col min="23" max="23" width="9.28515625" style="23" customWidth="1"/>
    <col min="24" max="24" width="8.28515625" style="23" customWidth="1"/>
    <col min="25" max="26" width="7.140625" style="23" customWidth="1"/>
    <col min="27" max="27" width="5.42578125" style="23" customWidth="1"/>
    <col min="28" max="28" width="5.85546875" style="23" customWidth="1"/>
    <col min="29" max="29" width="6.28515625" style="23" customWidth="1"/>
    <col min="30" max="30" width="7.28515625" style="23" customWidth="1"/>
    <col min="31" max="31" width="8.7109375" style="23" hidden="1" customWidth="1"/>
    <col min="32" max="32" width="31.5703125" style="23" hidden="1" customWidth="1"/>
    <col min="33" max="36" width="8.7109375" style="23" hidden="1" customWidth="1"/>
    <col min="37" max="16384" width="8.7109375" style="23"/>
  </cols>
  <sheetData>
    <row r="1" spans="1:42" s="21" customFormat="1" ht="17.45" customHeight="1" x14ac:dyDescent="0.25">
      <c r="A1" s="158" t="s">
        <v>72</v>
      </c>
      <c r="B1" s="158"/>
      <c r="C1" s="158"/>
      <c r="D1" s="158"/>
      <c r="E1" s="158"/>
      <c r="F1" s="158"/>
      <c r="G1" s="158"/>
      <c r="H1" s="20"/>
      <c r="I1" s="159" t="s">
        <v>142</v>
      </c>
      <c r="J1" s="159"/>
      <c r="K1" s="159"/>
      <c r="L1" s="159"/>
      <c r="M1" s="159"/>
      <c r="N1" s="159"/>
      <c r="O1" s="159"/>
      <c r="P1" s="159"/>
      <c r="Q1" s="160" t="s">
        <v>101</v>
      </c>
      <c r="R1" s="160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7">
        <v>3</v>
      </c>
      <c r="AF1" s="17" t="s">
        <v>69</v>
      </c>
      <c r="AG1" s="21">
        <v>1</v>
      </c>
      <c r="AH1" s="22">
        <v>0.17</v>
      </c>
      <c r="AI1" s="22">
        <v>0</v>
      </c>
      <c r="AJ1" s="22">
        <v>0.15</v>
      </c>
      <c r="AL1" s="55"/>
      <c r="AO1" s="51"/>
      <c r="AP1" s="51"/>
    </row>
    <row r="2" spans="1:42" s="21" customFormat="1" ht="40.5" customHeight="1" x14ac:dyDescent="0.25">
      <c r="A2" s="43" t="s">
        <v>74</v>
      </c>
      <c r="B2" s="20"/>
      <c r="C2" s="20"/>
      <c r="D2" s="20"/>
      <c r="E2" s="20"/>
      <c r="F2" s="165">
        <f>AN6</f>
        <v>0.03</v>
      </c>
      <c r="G2" s="166"/>
      <c r="H2" s="83" t="s">
        <v>100</v>
      </c>
      <c r="I2" s="159"/>
      <c r="J2" s="159"/>
      <c r="K2" s="159"/>
      <c r="L2" s="159"/>
      <c r="M2" s="159"/>
      <c r="N2" s="159"/>
      <c r="O2" s="159"/>
      <c r="P2" s="159"/>
      <c r="Q2" s="160"/>
      <c r="R2" s="160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F2" s="17" t="s">
        <v>70</v>
      </c>
      <c r="AG2" s="21">
        <f>+AG1+1</f>
        <v>2</v>
      </c>
      <c r="AH2" s="22">
        <v>0.17</v>
      </c>
      <c r="AI2" s="22">
        <v>0.17</v>
      </c>
      <c r="AJ2" s="22">
        <v>0.15</v>
      </c>
      <c r="AL2" s="64" t="s">
        <v>84</v>
      </c>
      <c r="AM2" s="49"/>
      <c r="AN2" s="67"/>
      <c r="AO2" s="65" t="s">
        <v>76</v>
      </c>
      <c r="AP2" s="65" t="s">
        <v>77</v>
      </c>
    </row>
    <row r="3" spans="1:42" s="21" customFormat="1" ht="17.45" customHeight="1" x14ac:dyDescent="0.25">
      <c r="A3" s="158" t="s">
        <v>73</v>
      </c>
      <c r="B3" s="158"/>
      <c r="C3" s="158"/>
      <c r="D3" s="158"/>
      <c r="E3" s="158"/>
      <c r="F3" s="158"/>
      <c r="G3" s="158"/>
      <c r="H3" s="167" t="s">
        <v>124</v>
      </c>
      <c r="I3" s="167"/>
      <c r="J3" s="167"/>
      <c r="K3" s="167"/>
      <c r="L3" s="42">
        <v>5</v>
      </c>
      <c r="M3" s="168" t="str">
        <f>+IF(AE5=1,IF(ISBLANK(L3),"","geen waarde invullen"),IF(AND(AE5&gt;1,L3=0),"aantal bevestigers invullen","stuks/m²"))</f>
        <v>geen waarde invullen</v>
      </c>
      <c r="N3" s="168"/>
      <c r="O3" s="168"/>
      <c r="P3" s="168"/>
      <c r="Q3" s="168"/>
      <c r="R3" s="168"/>
      <c r="S3" s="169" t="s">
        <v>121</v>
      </c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F3" s="17" t="s">
        <v>46</v>
      </c>
      <c r="AG3" s="21">
        <f>+AG2+1</f>
        <v>3</v>
      </c>
      <c r="AH3" s="22">
        <v>0.13</v>
      </c>
      <c r="AI3" s="22">
        <v>0.04</v>
      </c>
      <c r="AJ3" s="22">
        <v>0.36</v>
      </c>
      <c r="AL3" s="58" t="s">
        <v>99</v>
      </c>
      <c r="AM3" s="58" t="s">
        <v>96</v>
      </c>
      <c r="AN3" s="68">
        <v>0.03</v>
      </c>
      <c r="AO3" s="50"/>
      <c r="AP3" s="50"/>
    </row>
    <row r="4" spans="1:42" s="21" customFormat="1" ht="17.45" customHeight="1" x14ac:dyDescent="0.25">
      <c r="A4" s="172"/>
      <c r="B4" s="172"/>
      <c r="C4" s="172"/>
      <c r="D4" s="172"/>
      <c r="E4" s="172"/>
      <c r="F4" s="172"/>
      <c r="G4" s="172"/>
      <c r="H4" s="167" t="str">
        <f>+IF(AE5&gt;1,"diameter bevestiger","")</f>
        <v/>
      </c>
      <c r="I4" s="167"/>
      <c r="J4" s="167"/>
      <c r="K4" s="167"/>
      <c r="L4" s="42">
        <v>5</v>
      </c>
      <c r="M4" s="173" t="str">
        <f>+IF(AE5=1,IF(ISBLANK(L4),"","geen waarde invullen"),IF(AND(AE5&gt;1,L4=0),"diameter bevestigers invullen","mm"))</f>
        <v>geen waarde invullen</v>
      </c>
      <c r="N4" s="173"/>
      <c r="O4" s="173"/>
      <c r="P4" s="173"/>
      <c r="Q4" s="173"/>
      <c r="R4" s="173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F4" s="17" t="s">
        <v>47</v>
      </c>
      <c r="AG4" s="21">
        <f>+AG3+1</f>
        <v>4</v>
      </c>
      <c r="AH4" s="22">
        <v>0.1</v>
      </c>
      <c r="AI4" s="22">
        <v>0.04</v>
      </c>
      <c r="AJ4" s="22">
        <v>0.22</v>
      </c>
      <c r="AM4" s="21" t="s">
        <v>75</v>
      </c>
      <c r="AN4" s="50"/>
      <c r="AO4" s="66">
        <v>1</v>
      </c>
      <c r="AP4" s="66">
        <v>1</v>
      </c>
    </row>
    <row r="5" spans="1:42" s="21" customFormat="1" ht="17.45" customHeight="1" thickBot="1" x14ac:dyDescent="0.3">
      <c r="A5" s="174" t="s">
        <v>68</v>
      </c>
      <c r="B5" s="174"/>
      <c r="C5" s="174"/>
      <c r="D5" s="174"/>
      <c r="E5" s="174"/>
      <c r="F5" s="174"/>
      <c r="G5" s="174"/>
      <c r="H5" s="174"/>
      <c r="I5" s="174"/>
      <c r="J5" s="175" t="str">
        <f>+IF(AE8=1,"hout %","")</f>
        <v>hout %</v>
      </c>
      <c r="K5" s="175"/>
      <c r="L5" s="18">
        <v>0.18</v>
      </c>
      <c r="M5" s="176" t="str">
        <f>+IF(AE8=2,IF(ISBLANK(L5),"","geen waarde invullen"),IF(AND(AE8=1,ISNUMBER(L5),L5&gt;0),"","percentage invullen"))</f>
        <v/>
      </c>
      <c r="N5" s="176"/>
      <c r="O5" s="176"/>
      <c r="P5" s="176"/>
      <c r="Q5" s="176"/>
      <c r="R5" s="176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9">
        <v>1</v>
      </c>
      <c r="AF5" s="19" t="s">
        <v>57</v>
      </c>
      <c r="AG5" s="23">
        <v>1</v>
      </c>
      <c r="AH5" s="24" t="s">
        <v>62</v>
      </c>
      <c r="AI5" s="25" t="s">
        <v>60</v>
      </c>
      <c r="AM5" s="21" t="s">
        <v>97</v>
      </c>
      <c r="AN5" s="82">
        <f>AN3*AO4*AP4</f>
        <v>0.03</v>
      </c>
      <c r="AO5" s="50"/>
      <c r="AP5" s="50"/>
    </row>
    <row r="6" spans="1:42" ht="13.5" customHeight="1" x14ac:dyDescent="0.25">
      <c r="A6" s="26" t="s">
        <v>63</v>
      </c>
      <c r="B6" s="177" t="s">
        <v>27</v>
      </c>
      <c r="C6" s="178"/>
      <c r="D6" s="177" t="s">
        <v>28</v>
      </c>
      <c r="E6" s="178"/>
      <c r="F6" s="177" t="s">
        <v>29</v>
      </c>
      <c r="G6" s="179"/>
      <c r="H6" s="178"/>
      <c r="I6" s="9" t="s">
        <v>30</v>
      </c>
      <c r="J6" s="177" t="s">
        <v>31</v>
      </c>
      <c r="K6" s="178"/>
      <c r="L6" s="13" t="s">
        <v>32</v>
      </c>
      <c r="M6" s="177" t="s">
        <v>33</v>
      </c>
      <c r="N6" s="179"/>
      <c r="O6" s="177" t="s">
        <v>34</v>
      </c>
      <c r="P6" s="179"/>
      <c r="Q6" s="13" t="s">
        <v>21</v>
      </c>
      <c r="R6" s="9" t="s">
        <v>35</v>
      </c>
      <c r="S6" s="13" t="s">
        <v>36</v>
      </c>
      <c r="T6" s="9" t="s">
        <v>37</v>
      </c>
      <c r="U6" s="9" t="s">
        <v>38</v>
      </c>
      <c r="V6" s="177" t="s">
        <v>39</v>
      </c>
      <c r="W6" s="179"/>
      <c r="X6" s="178"/>
      <c r="Y6" s="9" t="s">
        <v>1</v>
      </c>
      <c r="Z6" s="11" t="s">
        <v>40</v>
      </c>
      <c r="AA6" s="205" t="s">
        <v>41</v>
      </c>
      <c r="AB6" s="206"/>
      <c r="AC6" s="207"/>
      <c r="AD6" s="13" t="s">
        <v>41</v>
      </c>
      <c r="AF6" s="19" t="s">
        <v>58</v>
      </c>
      <c r="AG6" s="23">
        <f>+AG5+1</f>
        <v>2</v>
      </c>
      <c r="AH6" s="23">
        <v>50</v>
      </c>
      <c r="AI6" s="23" t="s">
        <v>61</v>
      </c>
      <c r="AL6" s="49"/>
      <c r="AM6" s="62" t="s">
        <v>98</v>
      </c>
      <c r="AN6" s="69">
        <v>0.03</v>
      </c>
      <c r="AO6" s="63"/>
      <c r="AP6" s="63"/>
    </row>
    <row r="7" spans="1:42" ht="13.5" customHeight="1" x14ac:dyDescent="0.25">
      <c r="A7" s="27"/>
      <c r="B7" s="161" t="s">
        <v>56</v>
      </c>
      <c r="C7" s="162"/>
      <c r="D7" s="10"/>
      <c r="E7" s="28"/>
      <c r="F7" s="161" t="s">
        <v>44</v>
      </c>
      <c r="G7" s="163"/>
      <c r="H7" s="162"/>
      <c r="I7" s="10" t="s">
        <v>43</v>
      </c>
      <c r="J7" s="161" t="s">
        <v>44</v>
      </c>
      <c r="K7" s="162"/>
      <c r="L7" s="14" t="s">
        <v>43</v>
      </c>
      <c r="M7" s="161" t="s">
        <v>54</v>
      </c>
      <c r="N7" s="163"/>
      <c r="O7" s="161" t="s">
        <v>55</v>
      </c>
      <c r="P7" s="163"/>
      <c r="Q7" s="14" t="s">
        <v>52</v>
      </c>
      <c r="R7" s="10" t="s">
        <v>53</v>
      </c>
      <c r="S7" s="14" t="s">
        <v>43</v>
      </c>
      <c r="T7" s="10" t="s">
        <v>49</v>
      </c>
      <c r="U7" s="10">
        <v>8.1300000000000008</v>
      </c>
      <c r="V7" s="161" t="s">
        <v>50</v>
      </c>
      <c r="W7" s="163"/>
      <c r="X7" s="162"/>
      <c r="Y7" s="10" t="s">
        <v>48</v>
      </c>
      <c r="Z7" s="12" t="s">
        <v>42</v>
      </c>
      <c r="AA7" s="208" t="s">
        <v>51</v>
      </c>
      <c r="AB7" s="209"/>
      <c r="AC7" s="210"/>
      <c r="AD7" s="14"/>
      <c r="AF7" s="19" t="s">
        <v>59</v>
      </c>
      <c r="AG7" s="23">
        <f>+AG6+1</f>
        <v>3</v>
      </c>
      <c r="AH7" s="23">
        <v>17</v>
      </c>
      <c r="AI7" s="23" t="s">
        <v>61</v>
      </c>
    </row>
    <row r="8" spans="1:42" ht="13.5" customHeight="1" x14ac:dyDescent="0.25">
      <c r="A8" s="146" t="s">
        <v>65</v>
      </c>
      <c r="B8" s="149" t="s">
        <v>3</v>
      </c>
      <c r="C8" s="150"/>
      <c r="D8" s="149" t="s">
        <v>3</v>
      </c>
      <c r="E8" s="150"/>
      <c r="F8" s="149" t="s">
        <v>117</v>
      </c>
      <c r="G8" s="150"/>
      <c r="H8" s="155"/>
      <c r="I8" s="149" t="s">
        <v>9</v>
      </c>
      <c r="J8" s="149" t="s">
        <v>15</v>
      </c>
      <c r="K8" s="150"/>
      <c r="L8" s="199" t="s">
        <v>9</v>
      </c>
      <c r="M8" s="180" t="s">
        <v>13</v>
      </c>
      <c r="N8" s="182" t="s">
        <v>14</v>
      </c>
      <c r="O8" s="149" t="s">
        <v>119</v>
      </c>
      <c r="P8" s="155"/>
      <c r="Q8" s="184" t="s">
        <v>116</v>
      </c>
      <c r="R8" s="187" t="s">
        <v>115</v>
      </c>
      <c r="S8" s="239" t="s">
        <v>23</v>
      </c>
      <c r="T8" s="149" t="s">
        <v>24</v>
      </c>
      <c r="U8" s="199" t="s">
        <v>25</v>
      </c>
      <c r="V8" s="149" t="s">
        <v>22</v>
      </c>
      <c r="W8" s="150"/>
      <c r="X8" s="193" t="s">
        <v>26</v>
      </c>
      <c r="Y8" s="149" t="s">
        <v>0</v>
      </c>
      <c r="Z8" s="149" t="s">
        <v>2</v>
      </c>
      <c r="AA8" s="149" t="s">
        <v>120</v>
      </c>
      <c r="AB8" s="211"/>
      <c r="AC8" s="212"/>
      <c r="AD8" s="224" t="s">
        <v>4</v>
      </c>
      <c r="AE8" s="19">
        <v>1</v>
      </c>
      <c r="AF8" s="19" t="s">
        <v>66</v>
      </c>
      <c r="AH8" s="29"/>
    </row>
    <row r="9" spans="1:42" ht="13.5" customHeight="1" x14ac:dyDescent="0.25">
      <c r="A9" s="147"/>
      <c r="B9" s="151"/>
      <c r="C9" s="152"/>
      <c r="D9" s="151"/>
      <c r="E9" s="152"/>
      <c r="F9" s="151"/>
      <c r="G9" s="152"/>
      <c r="H9" s="156"/>
      <c r="I9" s="151"/>
      <c r="J9" s="151"/>
      <c r="K9" s="152"/>
      <c r="L9" s="200"/>
      <c r="M9" s="181"/>
      <c r="N9" s="183"/>
      <c r="O9" s="151"/>
      <c r="P9" s="156"/>
      <c r="Q9" s="185"/>
      <c r="R9" s="188"/>
      <c r="S9" s="240"/>
      <c r="T9" s="151"/>
      <c r="U9" s="200"/>
      <c r="V9" s="151"/>
      <c r="W9" s="152"/>
      <c r="X9" s="194"/>
      <c r="Y9" s="151"/>
      <c r="Z9" s="151"/>
      <c r="AA9" s="213"/>
      <c r="AB9" s="214"/>
      <c r="AC9" s="215"/>
      <c r="AD9" s="225"/>
      <c r="AF9" s="19" t="s">
        <v>67</v>
      </c>
      <c r="AG9" s="29"/>
      <c r="AH9" s="29"/>
      <c r="AI9" s="29"/>
      <c r="AJ9" s="29"/>
    </row>
    <row r="10" spans="1:42" ht="13.5" customHeight="1" x14ac:dyDescent="0.25">
      <c r="A10" s="147"/>
      <c r="B10" s="151"/>
      <c r="C10" s="152"/>
      <c r="D10" s="151"/>
      <c r="E10" s="152"/>
      <c r="F10" s="151"/>
      <c r="G10" s="152"/>
      <c r="H10" s="156"/>
      <c r="I10" s="151"/>
      <c r="J10" s="151"/>
      <c r="K10" s="152"/>
      <c r="L10" s="200"/>
      <c r="M10" s="181"/>
      <c r="N10" s="183"/>
      <c r="O10" s="151"/>
      <c r="P10" s="156"/>
      <c r="Q10" s="185"/>
      <c r="R10" s="188"/>
      <c r="S10" s="240"/>
      <c r="T10" s="151"/>
      <c r="U10" s="200"/>
      <c r="V10" s="151"/>
      <c r="W10" s="152"/>
      <c r="X10" s="194"/>
      <c r="Y10" s="151"/>
      <c r="Z10" s="151"/>
      <c r="AA10" s="213"/>
      <c r="AB10" s="214"/>
      <c r="AC10" s="215"/>
      <c r="AD10" s="225"/>
      <c r="AJ10" s="29"/>
    </row>
    <row r="11" spans="1:42" ht="13.5" customHeight="1" x14ac:dyDescent="0.25">
      <c r="A11" s="147"/>
      <c r="B11" s="151"/>
      <c r="C11" s="152"/>
      <c r="D11" s="151"/>
      <c r="E11" s="152"/>
      <c r="F11" s="151"/>
      <c r="G11" s="152"/>
      <c r="H11" s="156"/>
      <c r="I11" s="151"/>
      <c r="J11" s="151"/>
      <c r="K11" s="152"/>
      <c r="L11" s="200"/>
      <c r="M11" s="181"/>
      <c r="N11" s="183"/>
      <c r="O11" s="151"/>
      <c r="P11" s="156"/>
      <c r="Q11" s="185"/>
      <c r="R11" s="188"/>
      <c r="S11" s="240"/>
      <c r="T11" s="151"/>
      <c r="U11" s="200"/>
      <c r="V11" s="151"/>
      <c r="W11" s="152"/>
      <c r="X11" s="194"/>
      <c r="Y11" s="151"/>
      <c r="Z11" s="151"/>
      <c r="AA11" s="213"/>
      <c r="AB11" s="214"/>
      <c r="AC11" s="215"/>
      <c r="AD11" s="225"/>
      <c r="AH11" s="29"/>
      <c r="AI11" s="29"/>
      <c r="AJ11" s="29"/>
    </row>
    <row r="12" spans="1:42" ht="13.5" customHeight="1" x14ac:dyDescent="0.25">
      <c r="A12" s="147"/>
      <c r="B12" s="153"/>
      <c r="C12" s="154"/>
      <c r="D12" s="153"/>
      <c r="E12" s="154"/>
      <c r="F12" s="153"/>
      <c r="G12" s="154"/>
      <c r="H12" s="157"/>
      <c r="I12" s="153"/>
      <c r="J12" s="153"/>
      <c r="K12" s="154"/>
      <c r="L12" s="201"/>
      <c r="M12" s="227" t="str">
        <f>+CONCATENATE(G16*100,"% x")</f>
        <v>82% x</v>
      </c>
      <c r="N12" s="229" t="str">
        <f>+CONCATENATE(ROUND(K16*100,1),"% x")</f>
        <v>18% x</v>
      </c>
      <c r="O12" s="153"/>
      <c r="P12" s="157"/>
      <c r="Q12" s="185"/>
      <c r="R12" s="188"/>
      <c r="S12" s="240"/>
      <c r="T12" s="153"/>
      <c r="U12" s="201"/>
      <c r="V12" s="151"/>
      <c r="W12" s="152"/>
      <c r="X12" s="194"/>
      <c r="Y12" s="153"/>
      <c r="Z12" s="153"/>
      <c r="AA12" s="213"/>
      <c r="AB12" s="214"/>
      <c r="AC12" s="215"/>
      <c r="AD12" s="226"/>
      <c r="AF12" s="30"/>
      <c r="AH12" s="29"/>
      <c r="AI12" s="29"/>
      <c r="AJ12" s="29"/>
    </row>
    <row r="13" spans="1:42" ht="13.5" customHeight="1" x14ac:dyDescent="0.25">
      <c r="A13" s="147"/>
      <c r="B13" s="1" t="s">
        <v>11</v>
      </c>
      <c r="C13" s="31">
        <f>+F2</f>
        <v>0.03</v>
      </c>
      <c r="D13" s="1" t="s">
        <v>12</v>
      </c>
      <c r="E13" s="31">
        <v>0.13</v>
      </c>
      <c r="F13" s="1" t="s">
        <v>8</v>
      </c>
      <c r="G13" s="32">
        <f>+VLOOKUP(AE1,AG1:AJ4,2)</f>
        <v>0.13</v>
      </c>
      <c r="H13" s="32" t="s">
        <v>45</v>
      </c>
      <c r="I13" s="196"/>
      <c r="J13" s="231"/>
      <c r="K13" s="232"/>
      <c r="L13" s="235"/>
      <c r="M13" s="227"/>
      <c r="N13" s="229"/>
      <c r="O13" s="191" t="s">
        <v>18</v>
      </c>
      <c r="P13" s="238"/>
      <c r="Q13" s="185"/>
      <c r="R13" s="188"/>
      <c r="S13" s="240"/>
      <c r="T13" s="196"/>
      <c r="U13" s="196"/>
      <c r="V13" s="153"/>
      <c r="W13" s="154"/>
      <c r="X13" s="195"/>
      <c r="Y13" s="196"/>
      <c r="Z13" s="190"/>
      <c r="AA13" s="99"/>
      <c r="AB13" s="101"/>
      <c r="AC13" s="102"/>
      <c r="AD13" s="202"/>
      <c r="AH13" s="29"/>
      <c r="AI13" s="29"/>
      <c r="AJ13" s="29"/>
      <c r="AK13" s="29"/>
    </row>
    <row r="14" spans="1:42" ht="13.5" customHeight="1" x14ac:dyDescent="0.25">
      <c r="A14" s="147"/>
      <c r="B14" s="216" t="s">
        <v>64</v>
      </c>
      <c r="C14" s="217"/>
      <c r="D14" s="216" t="s">
        <v>61</v>
      </c>
      <c r="E14" s="217"/>
      <c r="F14" s="1" t="s">
        <v>10</v>
      </c>
      <c r="G14" s="32">
        <f>+VLOOKUP(AE1,AG1:AJ4,3)</f>
        <v>0.04</v>
      </c>
      <c r="H14" s="32" t="s">
        <v>45</v>
      </c>
      <c r="I14" s="197"/>
      <c r="J14" s="233"/>
      <c r="K14" s="234"/>
      <c r="L14" s="236"/>
      <c r="M14" s="228"/>
      <c r="N14" s="230"/>
      <c r="O14" s="1" t="str">
        <f>+CONCATENATE(G16*100,"% x")</f>
        <v>82% x</v>
      </c>
      <c r="P14" s="2" t="s">
        <v>19</v>
      </c>
      <c r="Q14" s="186"/>
      <c r="R14" s="189"/>
      <c r="S14" s="241"/>
      <c r="T14" s="197"/>
      <c r="U14" s="197"/>
      <c r="V14" s="33" t="s">
        <v>5</v>
      </c>
      <c r="W14" s="32">
        <f>+IF(AND(ISNUMBER(L3),L3&gt;0),L3,"n.v.t.")</f>
        <v>5</v>
      </c>
      <c r="X14" s="8" t="str">
        <f>+IF(W14="n.v.t.","","stuks/m²")</f>
        <v>stuks/m²</v>
      </c>
      <c r="Y14" s="197"/>
      <c r="Z14" s="191"/>
      <c r="AA14" s="98"/>
      <c r="AB14" s="103"/>
      <c r="AC14" s="104"/>
      <c r="AD14" s="203"/>
    </row>
    <row r="15" spans="1:42" ht="13.5" customHeight="1" x14ac:dyDescent="0.25">
      <c r="A15" s="147"/>
      <c r="B15" s="216"/>
      <c r="C15" s="217"/>
      <c r="D15" s="216"/>
      <c r="E15" s="217"/>
      <c r="F15" s="34"/>
      <c r="G15" s="32"/>
      <c r="H15" s="32"/>
      <c r="I15" s="197"/>
      <c r="J15" s="233"/>
      <c r="K15" s="234"/>
      <c r="L15" s="236"/>
      <c r="M15" s="190"/>
      <c r="N15" s="220"/>
      <c r="O15" s="1" t="str">
        <f>+CONCATENATE(ROUND(K16*100,1),"% x")</f>
        <v>18% x</v>
      </c>
      <c r="P15" s="2" t="s">
        <v>20</v>
      </c>
      <c r="Q15" s="196"/>
      <c r="R15" s="196"/>
      <c r="S15" s="196"/>
      <c r="T15" s="197"/>
      <c r="U15" s="197"/>
      <c r="V15" s="5" t="s">
        <v>6</v>
      </c>
      <c r="W15" s="6" t="str">
        <f>+VLOOKUP(AE5,AG5:AI7,2)</f>
        <v>n.v.t.</v>
      </c>
      <c r="X15" s="8" t="str">
        <f>+VLOOKUP(AE5,AG5:AI7,3)</f>
        <v/>
      </c>
      <c r="Y15" s="197"/>
      <c r="Z15" s="191"/>
      <c r="AA15" s="98"/>
      <c r="AB15" s="103"/>
      <c r="AC15" s="104"/>
      <c r="AD15" s="203"/>
      <c r="AF15" s="24" t="s">
        <v>60</v>
      </c>
      <c r="AL15" s="53"/>
      <c r="AM15" s="56"/>
    </row>
    <row r="16" spans="1:42" ht="13.5" customHeight="1" thickBot="1" x14ac:dyDescent="0.3">
      <c r="A16" s="148"/>
      <c r="B16" s="218"/>
      <c r="C16" s="219"/>
      <c r="D16" s="218"/>
      <c r="E16" s="219"/>
      <c r="F16" s="3" t="s">
        <v>17</v>
      </c>
      <c r="G16" s="222">
        <f>1-K16</f>
        <v>0.82000000000000006</v>
      </c>
      <c r="H16" s="223"/>
      <c r="I16" s="198"/>
      <c r="J16" s="16" t="s">
        <v>16</v>
      </c>
      <c r="K16" s="35">
        <f>+IF(AE8=1,L5,0)</f>
        <v>0.18</v>
      </c>
      <c r="L16" s="237"/>
      <c r="M16" s="192"/>
      <c r="N16" s="221"/>
      <c r="O16" s="44"/>
      <c r="P16" s="4"/>
      <c r="Q16" s="198"/>
      <c r="R16" s="198"/>
      <c r="S16" s="198"/>
      <c r="T16" s="198"/>
      <c r="U16" s="198"/>
      <c r="V16" s="7" t="s">
        <v>7</v>
      </c>
      <c r="W16" s="36">
        <f>+IF(AND(ISNUMBER(L4),L4&gt;0),L4,"n.v.t.")</f>
        <v>5</v>
      </c>
      <c r="X16" s="15" t="str">
        <f>+IF(W16="n.v.t.","","mm")</f>
        <v>mm</v>
      </c>
      <c r="Y16" s="198"/>
      <c r="Z16" s="192"/>
      <c r="AA16" s="105" t="s">
        <v>118</v>
      </c>
      <c r="AB16" s="106">
        <f>+VLOOKUP(AE1,AG1:AJ4,4)</f>
        <v>0.36</v>
      </c>
      <c r="AC16" s="107" t="s">
        <v>65</v>
      </c>
      <c r="AD16" s="204"/>
      <c r="AL16" s="54" t="s">
        <v>83</v>
      </c>
      <c r="AM16" s="84" t="s">
        <v>122</v>
      </c>
    </row>
    <row r="17" spans="1:39" ht="13.5" customHeight="1" x14ac:dyDescent="0.25">
      <c r="A17" s="23">
        <v>40</v>
      </c>
      <c r="B17" s="254">
        <f>+$A17*0.001/C$13</f>
        <v>1.3333333333333335</v>
      </c>
      <c r="C17" s="257"/>
      <c r="D17" s="254">
        <f>+$A17*0.001/E$13</f>
        <v>0.30769230769230771</v>
      </c>
      <c r="E17" s="257"/>
      <c r="F17" s="254">
        <f t="shared" ref="F17:F35" si="0">(B17+$G$13+$G$14)</f>
        <v>1.5033333333333334</v>
      </c>
      <c r="G17" s="255"/>
      <c r="H17" s="46"/>
      <c r="I17" s="38">
        <f>1/F17</f>
        <v>0.66518847006651882</v>
      </c>
      <c r="J17" s="254">
        <f t="shared" ref="J17:J35" si="1">(D17+$G$13+$G$14)</f>
        <v>0.47769230769230769</v>
      </c>
      <c r="K17" s="257"/>
      <c r="L17" s="38">
        <f>1/J17</f>
        <v>2.0933977455716586</v>
      </c>
      <c r="M17" s="254">
        <f>1/($G$16*I17+$K$16*L17)</f>
        <v>1.0842857142857143</v>
      </c>
      <c r="N17" s="257"/>
      <c r="O17" s="254">
        <f t="shared" ref="O17:O35" si="2">+A17*0.001/($G$16*$C$13+$K$16*$E$13)+$G$13+$G$14</f>
        <v>1.0033333333333334</v>
      </c>
      <c r="P17" s="257"/>
      <c r="Q17" s="45">
        <f>+IF(M17/(O17)&lt;1.05,0,1)</f>
        <v>1</v>
      </c>
      <c r="R17" s="38">
        <f t="shared" ref="R17:R35" si="3">+((Q17*M17+O17)/(1+1.05*Q17))</f>
        <v>1.0183507549361208</v>
      </c>
      <c r="S17" s="38">
        <f>1/R17</f>
        <v>0.98197992700729919</v>
      </c>
      <c r="T17" s="38">
        <v>0</v>
      </c>
      <c r="U17" s="38">
        <v>0</v>
      </c>
      <c r="V17" s="254">
        <f>+IF(ISNUMBER($W$15),POWER(B17/R17,2)*((0.8*A17/A17)*($L$3*$W$15*PI()*POWER(($L$4/2)*0.001,2))/(A17*0.001)),0)</f>
        <v>0</v>
      </c>
      <c r="W17" s="255"/>
      <c r="X17" s="46"/>
      <c r="Y17" s="38">
        <f>T17+U17+V17</f>
        <v>0</v>
      </c>
      <c r="Z17" s="38">
        <f t="shared" ref="Z17:Z35" si="4">S17/1+Y17</f>
        <v>0.98197992700729919</v>
      </c>
      <c r="AA17" s="38"/>
      <c r="AB17" s="100">
        <f t="shared" ref="AB17:AB34" si="5">1/Z17-$G$13-$G$14+$AB$16</f>
        <v>1.2083507549361208</v>
      </c>
      <c r="AC17" s="100"/>
      <c r="AD17" s="39">
        <f t="shared" ref="AD17:AD35" si="6">ROUND(AB17,1)</f>
        <v>1.2</v>
      </c>
      <c r="AE17" s="37"/>
      <c r="AL17" s="78">
        <f>A17</f>
        <v>40</v>
      </c>
      <c r="AM17" s="52">
        <f>AB17</f>
        <v>1.2083507549361208</v>
      </c>
    </row>
    <row r="18" spans="1:39" ht="13.5" customHeight="1" x14ac:dyDescent="0.25">
      <c r="A18" s="23">
        <f t="shared" ref="A18:A23" si="7">+A17+10</f>
        <v>50</v>
      </c>
      <c r="B18" s="242">
        <f t="shared" ref="B18:B35" si="8">+$A18*0.001/C$13</f>
        <v>1.6666666666666667</v>
      </c>
      <c r="C18" s="258"/>
      <c r="D18" s="242">
        <f>+$A18*0.001/E$13</f>
        <v>0.38461538461538464</v>
      </c>
      <c r="E18" s="258"/>
      <c r="F18" s="242">
        <f t="shared" si="0"/>
        <v>1.8366666666666669</v>
      </c>
      <c r="G18" s="256"/>
      <c r="H18" s="46"/>
      <c r="I18" s="38">
        <f>1/F18</f>
        <v>0.54446460980036293</v>
      </c>
      <c r="J18" s="242">
        <f t="shared" si="1"/>
        <v>0.55461538461538473</v>
      </c>
      <c r="K18" s="258"/>
      <c r="L18" s="38">
        <f>1/J18</f>
        <v>1.8030513176144241</v>
      </c>
      <c r="M18" s="242">
        <f t="shared" ref="M18:M35" si="9">1/($G$16*I18+$K$16*L18)</f>
        <v>1.2969996735226903</v>
      </c>
      <c r="N18" s="258"/>
      <c r="O18" s="242">
        <f t="shared" si="2"/>
        <v>1.2116666666666669</v>
      </c>
      <c r="P18" s="258"/>
      <c r="Q18" s="45">
        <f t="shared" ref="Q18:Q35" si="10">+IF(M18/(O18)&lt;1.05,0,1)</f>
        <v>1</v>
      </c>
      <c r="R18" s="38">
        <f t="shared" si="3"/>
        <v>1.22373967814115</v>
      </c>
      <c r="S18" s="38">
        <f t="shared" ref="S18:S35" si="11">1/R18</f>
        <v>0.81716726021255703</v>
      </c>
      <c r="T18" s="38">
        <v>0</v>
      </c>
      <c r="U18" s="38">
        <v>0</v>
      </c>
      <c r="V18" s="242">
        <f t="shared" ref="V18:V35" si="12">+IF(ISNUMBER($W$15),POWER(B18/R18,2)*((0.8*A18/A18)*($L$3*$W$15*PI()*POWER(($L$4/2)*0.001,2))/(A18*0.001)),0)</f>
        <v>0</v>
      </c>
      <c r="W18" s="256"/>
      <c r="X18" s="46"/>
      <c r="Y18" s="38">
        <f t="shared" ref="Y18:Y35" si="13">T18+U18+V18</f>
        <v>0</v>
      </c>
      <c r="Z18" s="38">
        <f t="shared" si="4"/>
        <v>0.81716726021255703</v>
      </c>
      <c r="AA18" s="38"/>
      <c r="AB18" s="100">
        <f t="shared" si="5"/>
        <v>1.41373967814115</v>
      </c>
      <c r="AC18" s="100"/>
      <c r="AD18" s="39">
        <f t="shared" si="6"/>
        <v>1.4</v>
      </c>
      <c r="AL18" s="78">
        <f t="shared" ref="AL18:AL35" si="14">A18</f>
        <v>50</v>
      </c>
      <c r="AM18" s="52">
        <f t="shared" ref="AM18:AM35" si="15">AB18</f>
        <v>1.41373967814115</v>
      </c>
    </row>
    <row r="19" spans="1:39" ht="13.5" customHeight="1" x14ac:dyDescent="0.25">
      <c r="A19" s="23">
        <f t="shared" si="7"/>
        <v>60</v>
      </c>
      <c r="B19" s="242">
        <f t="shared" si="8"/>
        <v>2</v>
      </c>
      <c r="C19" s="258"/>
      <c r="D19" s="242">
        <f t="shared" ref="D19:D35" si="16">+$A19*0.001/E$13</f>
        <v>0.46153846153846151</v>
      </c>
      <c r="E19" s="258"/>
      <c r="F19" s="242">
        <f t="shared" si="0"/>
        <v>2.17</v>
      </c>
      <c r="G19" s="256"/>
      <c r="H19" s="46"/>
      <c r="I19" s="38">
        <f t="shared" ref="I19:I35" si="17">1/F19</f>
        <v>0.46082949308755761</v>
      </c>
      <c r="J19" s="242">
        <f t="shared" si="1"/>
        <v>0.6315384615384616</v>
      </c>
      <c r="K19" s="258"/>
      <c r="L19" s="38">
        <f t="shared" ref="L19:L35" si="18">1/J19</f>
        <v>1.5834348355663823</v>
      </c>
      <c r="M19" s="242">
        <f t="shared" si="9"/>
        <v>1.5085266723116002</v>
      </c>
      <c r="N19" s="258"/>
      <c r="O19" s="242">
        <f t="shared" si="2"/>
        <v>1.42</v>
      </c>
      <c r="P19" s="258"/>
      <c r="Q19" s="45">
        <f t="shared" si="10"/>
        <v>1</v>
      </c>
      <c r="R19" s="38">
        <f t="shared" si="3"/>
        <v>1.4285495962495611</v>
      </c>
      <c r="S19" s="38">
        <f t="shared" si="11"/>
        <v>0.70001069800120863</v>
      </c>
      <c r="T19" s="38">
        <v>0</v>
      </c>
      <c r="U19" s="38">
        <v>0</v>
      </c>
      <c r="V19" s="242">
        <f t="shared" si="12"/>
        <v>0</v>
      </c>
      <c r="W19" s="256"/>
      <c r="X19" s="46"/>
      <c r="Y19" s="38">
        <f t="shared" si="13"/>
        <v>0</v>
      </c>
      <c r="Z19" s="38">
        <f t="shared" si="4"/>
        <v>0.70001069800120863</v>
      </c>
      <c r="AA19" s="38"/>
      <c r="AB19" s="100">
        <f t="shared" si="5"/>
        <v>1.6185495962495611</v>
      </c>
      <c r="AC19" s="100"/>
      <c r="AD19" s="39">
        <f t="shared" si="6"/>
        <v>1.6</v>
      </c>
      <c r="AL19" s="78">
        <f t="shared" si="14"/>
        <v>60</v>
      </c>
      <c r="AM19" s="52">
        <f t="shared" si="15"/>
        <v>1.6185495962495611</v>
      </c>
    </row>
    <row r="20" spans="1:39" ht="13.5" customHeight="1" x14ac:dyDescent="0.25">
      <c r="A20" s="23">
        <f t="shared" si="7"/>
        <v>70</v>
      </c>
      <c r="B20" s="242">
        <f t="shared" si="8"/>
        <v>2.3333333333333335</v>
      </c>
      <c r="C20" s="258"/>
      <c r="D20" s="242">
        <f t="shared" si="16"/>
        <v>0.53846153846153855</v>
      </c>
      <c r="E20" s="258"/>
      <c r="F20" s="242">
        <f t="shared" si="0"/>
        <v>2.5033333333333334</v>
      </c>
      <c r="G20" s="256"/>
      <c r="H20" s="46"/>
      <c r="I20" s="38">
        <f t="shared" si="17"/>
        <v>0.39946737683089212</v>
      </c>
      <c r="J20" s="242">
        <f t="shared" si="1"/>
        <v>0.70846153846153859</v>
      </c>
      <c r="K20" s="258"/>
      <c r="L20" s="38">
        <f t="shared" si="18"/>
        <v>1.4115092290988054</v>
      </c>
      <c r="M20" s="242">
        <f t="shared" si="9"/>
        <v>1.7192915734526475</v>
      </c>
      <c r="N20" s="258"/>
      <c r="O20" s="242">
        <f t="shared" si="2"/>
        <v>1.6283333333333334</v>
      </c>
      <c r="P20" s="258"/>
      <c r="Q20" s="45">
        <f t="shared" si="10"/>
        <v>1</v>
      </c>
      <c r="R20" s="38">
        <f t="shared" si="3"/>
        <v>1.6329877594077957</v>
      </c>
      <c r="S20" s="38">
        <f t="shared" si="11"/>
        <v>0.61237446162036802</v>
      </c>
      <c r="T20" s="38">
        <v>0</v>
      </c>
      <c r="U20" s="38">
        <v>0</v>
      </c>
      <c r="V20" s="242">
        <f t="shared" si="12"/>
        <v>0</v>
      </c>
      <c r="W20" s="256"/>
      <c r="X20" s="46"/>
      <c r="Y20" s="38">
        <f t="shared" si="13"/>
        <v>0</v>
      </c>
      <c r="Z20" s="38">
        <f t="shared" si="4"/>
        <v>0.61237446162036802</v>
      </c>
      <c r="AA20" s="38"/>
      <c r="AB20" s="100">
        <f t="shared" si="5"/>
        <v>1.8229877594077957</v>
      </c>
      <c r="AC20" s="100"/>
      <c r="AD20" s="39">
        <f t="shared" si="6"/>
        <v>1.8</v>
      </c>
      <c r="AL20" s="78">
        <f t="shared" si="14"/>
        <v>70</v>
      </c>
      <c r="AM20" s="52">
        <f t="shared" si="15"/>
        <v>1.8229877594077957</v>
      </c>
    </row>
    <row r="21" spans="1:39" ht="13.5" customHeight="1" x14ac:dyDescent="0.25">
      <c r="A21" s="23">
        <f>+A20+10</f>
        <v>80</v>
      </c>
      <c r="B21" s="242">
        <f t="shared" si="8"/>
        <v>2.666666666666667</v>
      </c>
      <c r="C21" s="243"/>
      <c r="D21" s="242">
        <f t="shared" si="16"/>
        <v>0.61538461538461542</v>
      </c>
      <c r="E21" s="243"/>
      <c r="F21" s="242">
        <f t="shared" si="0"/>
        <v>2.8366666666666669</v>
      </c>
      <c r="G21" s="243"/>
      <c r="H21" s="46"/>
      <c r="I21" s="38">
        <f t="shared" si="17"/>
        <v>0.3525264394829612</v>
      </c>
      <c r="J21" s="242">
        <f t="shared" si="1"/>
        <v>0.78538461538461546</v>
      </c>
      <c r="K21" s="243"/>
      <c r="L21" s="38">
        <f t="shared" si="18"/>
        <v>1.2732615083251713</v>
      </c>
      <c r="M21" s="242">
        <f t="shared" si="9"/>
        <v>1.9295380857206308</v>
      </c>
      <c r="N21" s="243"/>
      <c r="O21" s="242">
        <f t="shared" si="2"/>
        <v>1.8366666666666669</v>
      </c>
      <c r="P21" s="243"/>
      <c r="Q21" s="45">
        <f t="shared" si="10"/>
        <v>1</v>
      </c>
      <c r="R21" s="38">
        <f t="shared" si="3"/>
        <v>1.8371730499450234</v>
      </c>
      <c r="S21" s="38">
        <f t="shared" si="11"/>
        <v>0.54431453805068852</v>
      </c>
      <c r="T21" s="38">
        <v>0</v>
      </c>
      <c r="U21" s="38">
        <v>0</v>
      </c>
      <c r="V21" s="242">
        <f t="shared" si="12"/>
        <v>0</v>
      </c>
      <c r="W21" s="243"/>
      <c r="X21" s="46"/>
      <c r="Y21" s="38">
        <f t="shared" si="13"/>
        <v>0</v>
      </c>
      <c r="Z21" s="38">
        <f t="shared" si="4"/>
        <v>0.54431453805068852</v>
      </c>
      <c r="AA21" s="38"/>
      <c r="AB21" s="100">
        <f t="shared" si="5"/>
        <v>2.0271730499450236</v>
      </c>
      <c r="AC21" s="100"/>
      <c r="AD21" s="39">
        <f t="shared" si="6"/>
        <v>2</v>
      </c>
      <c r="AF21" s="40"/>
      <c r="AL21" s="78">
        <f t="shared" si="14"/>
        <v>80</v>
      </c>
      <c r="AM21" s="52">
        <f t="shared" si="15"/>
        <v>2.0271730499450236</v>
      </c>
    </row>
    <row r="22" spans="1:39" ht="13.5" customHeight="1" x14ac:dyDescent="0.25">
      <c r="A22" s="23">
        <f t="shared" si="7"/>
        <v>90</v>
      </c>
      <c r="B22" s="242">
        <f t="shared" si="8"/>
        <v>3</v>
      </c>
      <c r="C22" s="243"/>
      <c r="D22" s="242">
        <f t="shared" si="16"/>
        <v>0.69230769230769229</v>
      </c>
      <c r="E22" s="243"/>
      <c r="F22" s="242">
        <f t="shared" si="0"/>
        <v>3.17</v>
      </c>
      <c r="G22" s="243"/>
      <c r="H22" s="46"/>
      <c r="I22" s="38">
        <f t="shared" si="17"/>
        <v>0.31545741324921134</v>
      </c>
      <c r="J22" s="242">
        <f t="shared" si="1"/>
        <v>0.86230769230769233</v>
      </c>
      <c r="K22" s="243"/>
      <c r="L22" s="38">
        <f t="shared" si="18"/>
        <v>1.1596788581623549</v>
      </c>
      <c r="M22" s="242">
        <f t="shared" si="9"/>
        <v>2.139416014449127</v>
      </c>
      <c r="N22" s="243"/>
      <c r="O22" s="242">
        <f t="shared" si="2"/>
        <v>2.0449999999999999</v>
      </c>
      <c r="P22" s="243"/>
      <c r="Q22" s="45">
        <f t="shared" si="10"/>
        <v>0</v>
      </c>
      <c r="R22" s="38">
        <f t="shared" si="3"/>
        <v>2.0449999999999999</v>
      </c>
      <c r="S22" s="38">
        <f t="shared" si="11"/>
        <v>0.48899755501222497</v>
      </c>
      <c r="T22" s="38">
        <v>0</v>
      </c>
      <c r="U22" s="38">
        <v>0</v>
      </c>
      <c r="V22" s="242">
        <f t="shared" si="12"/>
        <v>0</v>
      </c>
      <c r="W22" s="243"/>
      <c r="X22" s="46"/>
      <c r="Y22" s="38">
        <f t="shared" si="13"/>
        <v>0</v>
      </c>
      <c r="Z22" s="38">
        <f t="shared" si="4"/>
        <v>0.48899755501222497</v>
      </c>
      <c r="AA22" s="38"/>
      <c r="AB22" s="100">
        <f t="shared" si="5"/>
        <v>2.2349999999999999</v>
      </c>
      <c r="AC22" s="100"/>
      <c r="AD22" s="39">
        <f t="shared" si="6"/>
        <v>2.2000000000000002</v>
      </c>
      <c r="AL22" s="78">
        <f t="shared" si="14"/>
        <v>90</v>
      </c>
      <c r="AM22" s="52">
        <f t="shared" si="15"/>
        <v>2.2349999999999999</v>
      </c>
    </row>
    <row r="23" spans="1:39" ht="13.5" customHeight="1" x14ac:dyDescent="0.25">
      <c r="A23" s="23">
        <f t="shared" si="7"/>
        <v>100</v>
      </c>
      <c r="B23" s="242">
        <f t="shared" si="8"/>
        <v>3.3333333333333335</v>
      </c>
      <c r="C23" s="243"/>
      <c r="D23" s="242">
        <f t="shared" si="16"/>
        <v>0.76923076923076927</v>
      </c>
      <c r="E23" s="243"/>
      <c r="F23" s="242">
        <f t="shared" si="0"/>
        <v>3.5033333333333334</v>
      </c>
      <c r="G23" s="243"/>
      <c r="H23" s="46"/>
      <c r="I23" s="38">
        <f t="shared" si="17"/>
        <v>0.28544243577545192</v>
      </c>
      <c r="J23" s="242">
        <f t="shared" si="1"/>
        <v>0.93923076923076931</v>
      </c>
      <c r="K23" s="243"/>
      <c r="L23" s="38">
        <f t="shared" si="18"/>
        <v>1.0647010647010646</v>
      </c>
      <c r="M23" s="242">
        <f t="shared" si="9"/>
        <v>2.3490225151015927</v>
      </c>
      <c r="N23" s="243"/>
      <c r="O23" s="242">
        <f t="shared" si="2"/>
        <v>2.2533333333333334</v>
      </c>
      <c r="P23" s="243"/>
      <c r="Q23" s="45">
        <f t="shared" si="10"/>
        <v>0</v>
      </c>
      <c r="R23" s="38">
        <f t="shared" si="3"/>
        <v>2.2533333333333334</v>
      </c>
      <c r="S23" s="38">
        <f t="shared" si="11"/>
        <v>0.4437869822485207</v>
      </c>
      <c r="T23" s="38">
        <v>0</v>
      </c>
      <c r="U23" s="38">
        <v>0</v>
      </c>
      <c r="V23" s="242">
        <f t="shared" si="12"/>
        <v>0</v>
      </c>
      <c r="W23" s="243"/>
      <c r="X23" s="46"/>
      <c r="Y23" s="38">
        <f t="shared" si="13"/>
        <v>0</v>
      </c>
      <c r="Z23" s="38">
        <f t="shared" si="4"/>
        <v>0.4437869822485207</v>
      </c>
      <c r="AA23" s="38"/>
      <c r="AB23" s="100">
        <f t="shared" si="5"/>
        <v>2.4433333333333334</v>
      </c>
      <c r="AC23" s="100"/>
      <c r="AD23" s="39">
        <f t="shared" si="6"/>
        <v>2.4</v>
      </c>
      <c r="AL23" s="78">
        <f t="shared" si="14"/>
        <v>100</v>
      </c>
      <c r="AM23" s="52">
        <f t="shared" si="15"/>
        <v>2.4433333333333334</v>
      </c>
    </row>
    <row r="24" spans="1:39" ht="13.5" customHeight="1" x14ac:dyDescent="0.25">
      <c r="A24" s="23">
        <f t="shared" ref="A24:A35" si="19">+A23+10</f>
        <v>110</v>
      </c>
      <c r="B24" s="242">
        <f t="shared" si="8"/>
        <v>3.666666666666667</v>
      </c>
      <c r="C24" s="243"/>
      <c r="D24" s="242">
        <f t="shared" si="16"/>
        <v>0.84615384615384615</v>
      </c>
      <c r="E24" s="243"/>
      <c r="F24" s="242">
        <f t="shared" si="0"/>
        <v>3.8366666666666669</v>
      </c>
      <c r="G24" s="243"/>
      <c r="H24" s="46"/>
      <c r="I24" s="38">
        <f t="shared" si="17"/>
        <v>0.26064291920069504</v>
      </c>
      <c r="J24" s="242">
        <f t="shared" si="1"/>
        <v>1.0161538461538462</v>
      </c>
      <c r="K24" s="243"/>
      <c r="L24" s="38">
        <f t="shared" si="18"/>
        <v>0.98410295230885692</v>
      </c>
      <c r="M24" s="242">
        <f t="shared" si="9"/>
        <v>2.5584233552078075</v>
      </c>
      <c r="N24" s="243"/>
      <c r="O24" s="242">
        <f t="shared" si="2"/>
        <v>2.4616666666666664</v>
      </c>
      <c r="P24" s="243"/>
      <c r="Q24" s="45">
        <f t="shared" si="10"/>
        <v>0</v>
      </c>
      <c r="R24" s="38">
        <f t="shared" si="3"/>
        <v>2.4616666666666664</v>
      </c>
      <c r="S24" s="38">
        <f t="shared" si="11"/>
        <v>0.40622884224779965</v>
      </c>
      <c r="T24" s="38">
        <v>0</v>
      </c>
      <c r="U24" s="38">
        <v>0</v>
      </c>
      <c r="V24" s="242">
        <f t="shared" si="12"/>
        <v>0</v>
      </c>
      <c r="W24" s="243"/>
      <c r="X24" s="46"/>
      <c r="Y24" s="38">
        <f t="shared" si="13"/>
        <v>0</v>
      </c>
      <c r="Z24" s="38">
        <f t="shared" si="4"/>
        <v>0.40622884224779965</v>
      </c>
      <c r="AA24" s="38"/>
      <c r="AB24" s="100">
        <f t="shared" si="5"/>
        <v>2.6516666666666664</v>
      </c>
      <c r="AC24" s="100"/>
      <c r="AD24" s="39">
        <f t="shared" si="6"/>
        <v>2.7</v>
      </c>
      <c r="AL24" s="78">
        <f t="shared" si="14"/>
        <v>110</v>
      </c>
      <c r="AM24" s="52">
        <f t="shared" si="15"/>
        <v>2.6516666666666664</v>
      </c>
    </row>
    <row r="25" spans="1:39" ht="13.5" customHeight="1" x14ac:dyDescent="0.25">
      <c r="A25" s="23">
        <f t="shared" si="19"/>
        <v>120</v>
      </c>
      <c r="B25" s="242">
        <f t="shared" si="8"/>
        <v>4</v>
      </c>
      <c r="C25" s="243"/>
      <c r="D25" s="242">
        <f t="shared" si="16"/>
        <v>0.92307692307692302</v>
      </c>
      <c r="E25" s="243"/>
      <c r="F25" s="242">
        <f t="shared" si="0"/>
        <v>4.17</v>
      </c>
      <c r="G25" s="243"/>
      <c r="H25" s="46"/>
      <c r="I25" s="38">
        <f t="shared" si="17"/>
        <v>0.23980815347721823</v>
      </c>
      <c r="J25" s="242">
        <f t="shared" si="1"/>
        <v>1.0930769230769231</v>
      </c>
      <c r="K25" s="243"/>
      <c r="L25" s="38">
        <f t="shared" si="18"/>
        <v>0.91484869809992964</v>
      </c>
      <c r="M25" s="242">
        <f t="shared" si="9"/>
        <v>2.7676646426903311</v>
      </c>
      <c r="N25" s="243"/>
      <c r="O25" s="242">
        <f t="shared" si="2"/>
        <v>2.67</v>
      </c>
      <c r="P25" s="243"/>
      <c r="Q25" s="45">
        <f t="shared" si="10"/>
        <v>0</v>
      </c>
      <c r="R25" s="38">
        <f t="shared" si="3"/>
        <v>2.67</v>
      </c>
      <c r="S25" s="38">
        <f t="shared" si="11"/>
        <v>0.37453183520599254</v>
      </c>
      <c r="T25" s="38">
        <v>0</v>
      </c>
      <c r="U25" s="38">
        <v>0</v>
      </c>
      <c r="V25" s="242">
        <f t="shared" si="12"/>
        <v>0</v>
      </c>
      <c r="W25" s="243"/>
      <c r="X25" s="46"/>
      <c r="Y25" s="38">
        <f t="shared" si="13"/>
        <v>0</v>
      </c>
      <c r="Z25" s="38">
        <f t="shared" si="4"/>
        <v>0.37453183520599254</v>
      </c>
      <c r="AA25" s="38"/>
      <c r="AB25" s="100">
        <f t="shared" si="5"/>
        <v>2.86</v>
      </c>
      <c r="AC25" s="100"/>
      <c r="AD25" s="39">
        <f t="shared" si="6"/>
        <v>2.9</v>
      </c>
      <c r="AL25" s="78">
        <f t="shared" si="14"/>
        <v>120</v>
      </c>
      <c r="AM25" s="52">
        <f t="shared" si="15"/>
        <v>2.86</v>
      </c>
    </row>
    <row r="26" spans="1:39" ht="13.5" customHeight="1" x14ac:dyDescent="0.25">
      <c r="A26" s="23">
        <f t="shared" si="19"/>
        <v>130</v>
      </c>
      <c r="B26" s="242">
        <f t="shared" si="8"/>
        <v>4.3333333333333339</v>
      </c>
      <c r="C26" s="243"/>
      <c r="D26" s="242">
        <f t="shared" si="16"/>
        <v>1</v>
      </c>
      <c r="E26" s="243"/>
      <c r="F26" s="242">
        <f t="shared" si="0"/>
        <v>4.5033333333333339</v>
      </c>
      <c r="G26" s="243"/>
      <c r="H26" s="46"/>
      <c r="I26" s="38">
        <f t="shared" si="17"/>
        <v>0.22205773501110287</v>
      </c>
      <c r="J26" s="242">
        <f t="shared" si="1"/>
        <v>1.17</v>
      </c>
      <c r="K26" s="243"/>
      <c r="L26" s="38">
        <f t="shared" si="18"/>
        <v>0.85470085470085477</v>
      </c>
      <c r="M26" s="242">
        <f t="shared" si="9"/>
        <v>2.9767796610169492</v>
      </c>
      <c r="N26" s="243"/>
      <c r="O26" s="242">
        <f t="shared" si="2"/>
        <v>2.8783333333333334</v>
      </c>
      <c r="P26" s="243"/>
      <c r="Q26" s="45">
        <f t="shared" si="10"/>
        <v>0</v>
      </c>
      <c r="R26" s="38">
        <f t="shared" si="3"/>
        <v>2.8783333333333334</v>
      </c>
      <c r="S26" s="38">
        <f t="shared" si="11"/>
        <v>0.34742327735958306</v>
      </c>
      <c r="T26" s="38">
        <v>0</v>
      </c>
      <c r="U26" s="38">
        <v>0</v>
      </c>
      <c r="V26" s="242">
        <f t="shared" si="12"/>
        <v>0</v>
      </c>
      <c r="W26" s="243"/>
      <c r="X26" s="46"/>
      <c r="Y26" s="38">
        <f t="shared" si="13"/>
        <v>0</v>
      </c>
      <c r="Z26" s="38">
        <f t="shared" si="4"/>
        <v>0.34742327735958306</v>
      </c>
      <c r="AA26" s="38"/>
      <c r="AB26" s="100">
        <f t="shared" si="5"/>
        <v>3.0683333333333334</v>
      </c>
      <c r="AC26" s="100"/>
      <c r="AD26" s="39">
        <f t="shared" si="6"/>
        <v>3.1</v>
      </c>
      <c r="AL26" s="78">
        <f t="shared" si="14"/>
        <v>130</v>
      </c>
      <c r="AM26" s="52">
        <f t="shared" si="15"/>
        <v>3.0683333333333334</v>
      </c>
    </row>
    <row r="27" spans="1:39" ht="13.5" customHeight="1" x14ac:dyDescent="0.25">
      <c r="A27" s="23">
        <f t="shared" si="19"/>
        <v>140</v>
      </c>
      <c r="B27" s="242">
        <f t="shared" si="8"/>
        <v>4.666666666666667</v>
      </c>
      <c r="C27" s="243"/>
      <c r="D27" s="242">
        <f t="shared" si="16"/>
        <v>1.0769230769230771</v>
      </c>
      <c r="E27" s="243"/>
      <c r="F27" s="242">
        <f t="shared" si="0"/>
        <v>4.8366666666666669</v>
      </c>
      <c r="G27" s="243"/>
      <c r="H27" s="46"/>
      <c r="I27" s="38">
        <f t="shared" si="17"/>
        <v>0.20675396278428668</v>
      </c>
      <c r="J27" s="242">
        <f t="shared" si="1"/>
        <v>1.246923076923077</v>
      </c>
      <c r="K27" s="243"/>
      <c r="L27" s="38">
        <f t="shared" si="18"/>
        <v>0.80197409006785925</v>
      </c>
      <c r="M27" s="242">
        <f t="shared" si="9"/>
        <v>3.1857930380604089</v>
      </c>
      <c r="N27" s="243"/>
      <c r="O27" s="242">
        <f t="shared" si="2"/>
        <v>3.0866666666666669</v>
      </c>
      <c r="P27" s="243"/>
      <c r="Q27" s="45">
        <f t="shared" si="10"/>
        <v>0</v>
      </c>
      <c r="R27" s="38">
        <f t="shared" si="3"/>
        <v>3.0866666666666669</v>
      </c>
      <c r="S27" s="38">
        <f t="shared" si="11"/>
        <v>0.32397408207343409</v>
      </c>
      <c r="T27" s="38">
        <v>0</v>
      </c>
      <c r="U27" s="38">
        <v>0</v>
      </c>
      <c r="V27" s="242">
        <f t="shared" si="12"/>
        <v>0</v>
      </c>
      <c r="W27" s="243"/>
      <c r="X27" s="46"/>
      <c r="Y27" s="38">
        <f t="shared" si="13"/>
        <v>0</v>
      </c>
      <c r="Z27" s="38">
        <f t="shared" si="4"/>
        <v>0.32397408207343409</v>
      </c>
      <c r="AA27" s="38"/>
      <c r="AB27" s="100">
        <f t="shared" si="5"/>
        <v>3.2766666666666668</v>
      </c>
      <c r="AC27" s="100"/>
      <c r="AD27" s="39">
        <f t="shared" si="6"/>
        <v>3.3</v>
      </c>
      <c r="AL27" s="78">
        <f t="shared" si="14"/>
        <v>140</v>
      </c>
      <c r="AM27" s="52">
        <f t="shared" si="15"/>
        <v>3.2766666666666668</v>
      </c>
    </row>
    <row r="28" spans="1:39" ht="13.5" customHeight="1" x14ac:dyDescent="0.25">
      <c r="A28" s="23">
        <f t="shared" si="19"/>
        <v>150</v>
      </c>
      <c r="B28" s="242">
        <f t="shared" si="8"/>
        <v>5</v>
      </c>
      <c r="C28" s="243"/>
      <c r="D28" s="242">
        <f t="shared" si="16"/>
        <v>1.1538461538461537</v>
      </c>
      <c r="E28" s="243"/>
      <c r="F28" s="242">
        <f t="shared" si="0"/>
        <v>5.17</v>
      </c>
      <c r="G28" s="243"/>
      <c r="H28" s="46"/>
      <c r="I28" s="38">
        <f t="shared" si="17"/>
        <v>0.19342359767891684</v>
      </c>
      <c r="J28" s="242">
        <f t="shared" si="1"/>
        <v>1.3238461538461537</v>
      </c>
      <c r="K28" s="243"/>
      <c r="L28" s="38">
        <f t="shared" si="18"/>
        <v>0.75537478210342834</v>
      </c>
      <c r="M28" s="242">
        <f t="shared" si="9"/>
        <v>3.3947233880198397</v>
      </c>
      <c r="N28" s="243"/>
      <c r="O28" s="242">
        <f t="shared" si="2"/>
        <v>3.2949999999999999</v>
      </c>
      <c r="P28" s="243"/>
      <c r="Q28" s="45">
        <f t="shared" si="10"/>
        <v>0</v>
      </c>
      <c r="R28" s="38">
        <f t="shared" si="3"/>
        <v>3.2949999999999999</v>
      </c>
      <c r="S28" s="38">
        <f t="shared" si="11"/>
        <v>0.30349013657056145</v>
      </c>
      <c r="T28" s="38">
        <v>0</v>
      </c>
      <c r="U28" s="38">
        <v>0</v>
      </c>
      <c r="V28" s="242">
        <f t="shared" si="12"/>
        <v>0</v>
      </c>
      <c r="W28" s="243"/>
      <c r="X28" s="46"/>
      <c r="Y28" s="38">
        <f t="shared" si="13"/>
        <v>0</v>
      </c>
      <c r="Z28" s="38">
        <f t="shared" si="4"/>
        <v>0.30349013657056145</v>
      </c>
      <c r="AA28" s="38"/>
      <c r="AB28" s="100">
        <f t="shared" si="5"/>
        <v>3.4849999999999999</v>
      </c>
      <c r="AC28" s="100"/>
      <c r="AD28" s="39">
        <f t="shared" si="6"/>
        <v>3.5</v>
      </c>
      <c r="AL28" s="78">
        <f t="shared" si="14"/>
        <v>150</v>
      </c>
      <c r="AM28" s="52">
        <f t="shared" si="15"/>
        <v>3.4849999999999999</v>
      </c>
    </row>
    <row r="29" spans="1:39" ht="13.5" customHeight="1" x14ac:dyDescent="0.25">
      <c r="A29" s="23">
        <f>+A28+10</f>
        <v>160</v>
      </c>
      <c r="B29" s="242">
        <f t="shared" si="8"/>
        <v>5.3333333333333339</v>
      </c>
      <c r="C29" s="243"/>
      <c r="D29" s="242">
        <f t="shared" si="16"/>
        <v>1.2307692307692308</v>
      </c>
      <c r="E29" s="243"/>
      <c r="F29" s="242">
        <f t="shared" si="0"/>
        <v>5.5033333333333339</v>
      </c>
      <c r="G29" s="243"/>
      <c r="H29" s="46"/>
      <c r="I29" s="38">
        <f t="shared" si="17"/>
        <v>0.18170805572380375</v>
      </c>
      <c r="J29" s="242">
        <f t="shared" si="1"/>
        <v>1.4007692307692308</v>
      </c>
      <c r="K29" s="243"/>
      <c r="L29" s="38">
        <f t="shared" si="18"/>
        <v>0.71389346512904994</v>
      </c>
      <c r="M29" s="242">
        <f t="shared" si="9"/>
        <v>3.6035850413520318</v>
      </c>
      <c r="N29" s="243"/>
      <c r="O29" s="242">
        <f t="shared" si="2"/>
        <v>3.5033333333333334</v>
      </c>
      <c r="P29" s="243"/>
      <c r="Q29" s="45">
        <f t="shared" si="10"/>
        <v>0</v>
      </c>
      <c r="R29" s="38">
        <f t="shared" si="3"/>
        <v>3.5033333333333334</v>
      </c>
      <c r="S29" s="38">
        <f t="shared" si="11"/>
        <v>0.28544243577545192</v>
      </c>
      <c r="T29" s="38">
        <v>0</v>
      </c>
      <c r="U29" s="38">
        <v>0</v>
      </c>
      <c r="V29" s="242">
        <f t="shared" si="12"/>
        <v>0</v>
      </c>
      <c r="W29" s="243"/>
      <c r="X29" s="46"/>
      <c r="Y29" s="38">
        <f t="shared" si="13"/>
        <v>0</v>
      </c>
      <c r="Z29" s="38">
        <f t="shared" si="4"/>
        <v>0.28544243577545192</v>
      </c>
      <c r="AA29" s="38"/>
      <c r="AB29" s="100">
        <f t="shared" si="5"/>
        <v>3.6933333333333338</v>
      </c>
      <c r="AC29" s="100"/>
      <c r="AD29" s="39">
        <f t="shared" si="6"/>
        <v>3.7</v>
      </c>
      <c r="AL29" s="78">
        <f t="shared" si="14"/>
        <v>160</v>
      </c>
      <c r="AM29" s="52">
        <f t="shared" si="15"/>
        <v>3.6933333333333338</v>
      </c>
    </row>
    <row r="30" spans="1:39" ht="13.5" customHeight="1" x14ac:dyDescent="0.25">
      <c r="A30" s="23">
        <f t="shared" si="19"/>
        <v>170</v>
      </c>
      <c r="B30" s="242">
        <f t="shared" si="8"/>
        <v>5.666666666666667</v>
      </c>
      <c r="C30" s="243"/>
      <c r="D30" s="242">
        <f t="shared" si="16"/>
        <v>1.3076923076923077</v>
      </c>
      <c r="E30" s="243"/>
      <c r="F30" s="242">
        <f t="shared" si="0"/>
        <v>5.8366666666666669</v>
      </c>
      <c r="G30" s="243"/>
      <c r="H30" s="46"/>
      <c r="I30" s="38">
        <f t="shared" si="17"/>
        <v>0.17133066818960593</v>
      </c>
      <c r="J30" s="242">
        <f t="shared" si="1"/>
        <v>1.4776923076923079</v>
      </c>
      <c r="K30" s="243"/>
      <c r="L30" s="38">
        <f t="shared" si="18"/>
        <v>0.67673086933888593</v>
      </c>
      <c r="M30" s="242">
        <f t="shared" si="9"/>
        <v>3.8123892100192678</v>
      </c>
      <c r="N30" s="243"/>
      <c r="O30" s="242">
        <f t="shared" si="2"/>
        <v>3.7116666666666669</v>
      </c>
      <c r="P30" s="243"/>
      <c r="Q30" s="45">
        <f t="shared" si="10"/>
        <v>0</v>
      </c>
      <c r="R30" s="38">
        <f t="shared" si="3"/>
        <v>3.7116666666666669</v>
      </c>
      <c r="S30" s="38">
        <f t="shared" si="11"/>
        <v>0.26942074539739558</v>
      </c>
      <c r="T30" s="38">
        <v>0</v>
      </c>
      <c r="U30" s="38">
        <v>0</v>
      </c>
      <c r="V30" s="242">
        <f t="shared" si="12"/>
        <v>0</v>
      </c>
      <c r="W30" s="243"/>
      <c r="X30" s="46"/>
      <c r="Y30" s="38">
        <f t="shared" si="13"/>
        <v>0</v>
      </c>
      <c r="Z30" s="38">
        <f t="shared" si="4"/>
        <v>0.26942074539739558</v>
      </c>
      <c r="AA30" s="38"/>
      <c r="AB30" s="100">
        <f t="shared" si="5"/>
        <v>3.9016666666666668</v>
      </c>
      <c r="AC30" s="100"/>
      <c r="AD30" s="39">
        <f t="shared" si="6"/>
        <v>3.9</v>
      </c>
      <c r="AL30" s="78">
        <f t="shared" si="14"/>
        <v>170</v>
      </c>
      <c r="AM30" s="52">
        <f t="shared" si="15"/>
        <v>3.9016666666666668</v>
      </c>
    </row>
    <row r="31" spans="1:39" ht="13.5" customHeight="1" x14ac:dyDescent="0.25">
      <c r="A31" s="23">
        <f t="shared" si="19"/>
        <v>180</v>
      </c>
      <c r="B31" s="242">
        <f t="shared" si="8"/>
        <v>6</v>
      </c>
      <c r="C31" s="243"/>
      <c r="D31" s="242">
        <f t="shared" si="16"/>
        <v>1.3846153846153846</v>
      </c>
      <c r="E31" s="243"/>
      <c r="F31" s="242">
        <f t="shared" si="0"/>
        <v>6.17</v>
      </c>
      <c r="G31" s="243"/>
      <c r="H31" s="46"/>
      <c r="I31" s="38">
        <f t="shared" si="17"/>
        <v>0.16207455429497569</v>
      </c>
      <c r="J31" s="242">
        <f t="shared" si="1"/>
        <v>1.5546153846153845</v>
      </c>
      <c r="K31" s="243"/>
      <c r="L31" s="38">
        <f t="shared" si="18"/>
        <v>0.64324591786244434</v>
      </c>
      <c r="M31" s="242">
        <f t="shared" si="9"/>
        <v>4.0211447920025796</v>
      </c>
      <c r="N31" s="243"/>
      <c r="O31" s="242">
        <f t="shared" si="2"/>
        <v>3.92</v>
      </c>
      <c r="P31" s="243"/>
      <c r="Q31" s="45">
        <f t="shared" si="10"/>
        <v>0</v>
      </c>
      <c r="R31" s="38">
        <f t="shared" si="3"/>
        <v>3.92</v>
      </c>
      <c r="S31" s="38">
        <f t="shared" si="11"/>
        <v>0.25510204081632654</v>
      </c>
      <c r="T31" s="38">
        <v>0</v>
      </c>
      <c r="U31" s="38">
        <v>0</v>
      </c>
      <c r="V31" s="242">
        <f t="shared" si="12"/>
        <v>0</v>
      </c>
      <c r="W31" s="243"/>
      <c r="X31" s="46"/>
      <c r="Y31" s="38">
        <f t="shared" si="13"/>
        <v>0</v>
      </c>
      <c r="Z31" s="38">
        <f t="shared" si="4"/>
        <v>0.25510204081632654</v>
      </c>
      <c r="AA31" s="38"/>
      <c r="AB31" s="100">
        <f t="shared" si="5"/>
        <v>4.1100000000000003</v>
      </c>
      <c r="AC31" s="100"/>
      <c r="AD31" s="39">
        <f t="shared" si="6"/>
        <v>4.0999999999999996</v>
      </c>
      <c r="AL31" s="78">
        <f t="shared" si="14"/>
        <v>180</v>
      </c>
      <c r="AM31" s="52">
        <f t="shared" si="15"/>
        <v>4.1100000000000003</v>
      </c>
    </row>
    <row r="32" spans="1:39" ht="13.5" customHeight="1" x14ac:dyDescent="0.25">
      <c r="A32" s="23">
        <f t="shared" si="19"/>
        <v>190</v>
      </c>
      <c r="B32" s="242">
        <f t="shared" si="8"/>
        <v>6.3333333333333339</v>
      </c>
      <c r="C32" s="243"/>
      <c r="D32" s="242">
        <f t="shared" si="16"/>
        <v>1.4615384615384615</v>
      </c>
      <c r="E32" s="243"/>
      <c r="F32" s="242">
        <f t="shared" si="0"/>
        <v>6.5033333333333339</v>
      </c>
      <c r="G32" s="243"/>
      <c r="H32" s="46"/>
      <c r="I32" s="38">
        <f t="shared" si="17"/>
        <v>0.15376729882111737</v>
      </c>
      <c r="J32" s="242">
        <f t="shared" si="1"/>
        <v>1.6315384615384616</v>
      </c>
      <c r="K32" s="243"/>
      <c r="L32" s="38">
        <f t="shared" si="18"/>
        <v>0.61291843470061291</v>
      </c>
      <c r="M32" s="242">
        <f t="shared" si="9"/>
        <v>4.2298589389757737</v>
      </c>
      <c r="N32" s="243"/>
      <c r="O32" s="242">
        <f t="shared" si="2"/>
        <v>4.1283333333333339</v>
      </c>
      <c r="P32" s="243"/>
      <c r="Q32" s="45">
        <f t="shared" si="10"/>
        <v>0</v>
      </c>
      <c r="R32" s="38">
        <f t="shared" si="3"/>
        <v>4.1283333333333339</v>
      </c>
      <c r="S32" s="38">
        <f t="shared" si="11"/>
        <v>0.24222850222042791</v>
      </c>
      <c r="T32" s="38">
        <v>0</v>
      </c>
      <c r="U32" s="38">
        <v>0</v>
      </c>
      <c r="V32" s="242">
        <f t="shared" si="12"/>
        <v>0</v>
      </c>
      <c r="W32" s="243"/>
      <c r="X32" s="46"/>
      <c r="Y32" s="38">
        <f t="shared" si="13"/>
        <v>0</v>
      </c>
      <c r="Z32" s="38">
        <f t="shared" si="4"/>
        <v>0.24222850222042791</v>
      </c>
      <c r="AA32" s="38"/>
      <c r="AB32" s="100">
        <f t="shared" si="5"/>
        <v>4.3183333333333342</v>
      </c>
      <c r="AC32" s="100"/>
      <c r="AD32" s="39">
        <f t="shared" si="6"/>
        <v>4.3</v>
      </c>
      <c r="AL32" s="78">
        <f t="shared" si="14"/>
        <v>190</v>
      </c>
      <c r="AM32" s="52">
        <f t="shared" si="15"/>
        <v>4.3183333333333342</v>
      </c>
    </row>
    <row r="33" spans="1:39" ht="13.5" customHeight="1" x14ac:dyDescent="0.25">
      <c r="A33" s="23">
        <f t="shared" si="19"/>
        <v>200</v>
      </c>
      <c r="B33" s="242">
        <f t="shared" si="8"/>
        <v>6.666666666666667</v>
      </c>
      <c r="C33" s="243"/>
      <c r="D33" s="242">
        <f t="shared" si="16"/>
        <v>1.5384615384615385</v>
      </c>
      <c r="E33" s="243"/>
      <c r="F33" s="242">
        <f t="shared" si="0"/>
        <v>6.8366666666666669</v>
      </c>
      <c r="G33" s="243"/>
      <c r="H33" s="46"/>
      <c r="I33" s="38">
        <f t="shared" si="17"/>
        <v>0.14627011214041929</v>
      </c>
      <c r="J33" s="242">
        <f t="shared" si="1"/>
        <v>1.7084615384615387</v>
      </c>
      <c r="K33" s="243"/>
      <c r="L33" s="38">
        <f t="shared" si="18"/>
        <v>0.58532192705988284</v>
      </c>
      <c r="M33" s="242">
        <f t="shared" si="9"/>
        <v>4.4385374646789444</v>
      </c>
      <c r="N33" s="243"/>
      <c r="O33" s="242">
        <f t="shared" si="2"/>
        <v>4.3366666666666669</v>
      </c>
      <c r="P33" s="243"/>
      <c r="Q33" s="45">
        <f t="shared" si="10"/>
        <v>0</v>
      </c>
      <c r="R33" s="38">
        <f t="shared" si="3"/>
        <v>4.3366666666666669</v>
      </c>
      <c r="S33" s="38">
        <f t="shared" si="11"/>
        <v>0.23059185242121444</v>
      </c>
      <c r="T33" s="38">
        <v>0</v>
      </c>
      <c r="U33" s="38">
        <v>0</v>
      </c>
      <c r="V33" s="242">
        <f t="shared" si="12"/>
        <v>0</v>
      </c>
      <c r="W33" s="243"/>
      <c r="X33" s="46"/>
      <c r="Y33" s="38">
        <f t="shared" si="13"/>
        <v>0</v>
      </c>
      <c r="Z33" s="38">
        <f t="shared" si="4"/>
        <v>0.23059185242121444</v>
      </c>
      <c r="AA33" s="38"/>
      <c r="AB33" s="100">
        <f t="shared" si="5"/>
        <v>4.5266666666666673</v>
      </c>
      <c r="AC33" s="100"/>
      <c r="AD33" s="39">
        <f t="shared" si="6"/>
        <v>4.5</v>
      </c>
      <c r="AL33" s="78">
        <f t="shared" si="14"/>
        <v>200</v>
      </c>
      <c r="AM33" s="52">
        <f t="shared" si="15"/>
        <v>4.5266666666666673</v>
      </c>
    </row>
    <row r="34" spans="1:39" ht="13.5" customHeight="1" x14ac:dyDescent="0.25">
      <c r="A34" s="23">
        <f t="shared" si="19"/>
        <v>210</v>
      </c>
      <c r="B34" s="242">
        <f t="shared" si="8"/>
        <v>7</v>
      </c>
      <c r="C34" s="243"/>
      <c r="D34" s="242">
        <f t="shared" si="16"/>
        <v>1.6153846153846152</v>
      </c>
      <c r="E34" s="243"/>
      <c r="F34" s="242">
        <f t="shared" si="0"/>
        <v>7.17</v>
      </c>
      <c r="G34" s="243"/>
      <c r="H34" s="46"/>
      <c r="I34" s="38">
        <f t="shared" si="17"/>
        <v>0.1394700139470014</v>
      </c>
      <c r="J34" s="242">
        <f t="shared" si="1"/>
        <v>1.7853846153846153</v>
      </c>
      <c r="K34" s="243"/>
      <c r="L34" s="38">
        <f t="shared" si="18"/>
        <v>0.56010340370529943</v>
      </c>
      <c r="M34" s="242">
        <f t="shared" si="9"/>
        <v>4.6471851438145766</v>
      </c>
      <c r="N34" s="243"/>
      <c r="O34" s="242">
        <f t="shared" si="2"/>
        <v>4.5449999999999999</v>
      </c>
      <c r="P34" s="243"/>
      <c r="Q34" s="45">
        <f t="shared" si="10"/>
        <v>0</v>
      </c>
      <c r="R34" s="38">
        <f t="shared" si="3"/>
        <v>4.5449999999999999</v>
      </c>
      <c r="S34" s="38">
        <f t="shared" si="11"/>
        <v>0.22002200220022003</v>
      </c>
      <c r="T34" s="38">
        <v>0</v>
      </c>
      <c r="U34" s="38">
        <v>0</v>
      </c>
      <c r="V34" s="242">
        <f t="shared" si="12"/>
        <v>0</v>
      </c>
      <c r="W34" s="243"/>
      <c r="X34" s="46"/>
      <c r="Y34" s="38">
        <f t="shared" si="13"/>
        <v>0</v>
      </c>
      <c r="Z34" s="38">
        <f t="shared" si="4"/>
        <v>0.22002200220022003</v>
      </c>
      <c r="AA34" s="38"/>
      <c r="AB34" s="100">
        <f t="shared" si="5"/>
        <v>4.7350000000000003</v>
      </c>
      <c r="AC34" s="100"/>
      <c r="AD34" s="39">
        <f t="shared" si="6"/>
        <v>4.7</v>
      </c>
      <c r="AL34" s="78">
        <f t="shared" si="14"/>
        <v>210</v>
      </c>
      <c r="AM34" s="52">
        <f t="shared" si="15"/>
        <v>4.7350000000000003</v>
      </c>
    </row>
    <row r="35" spans="1:39" ht="13.5" customHeight="1" x14ac:dyDescent="0.25">
      <c r="A35" s="41">
        <f t="shared" si="19"/>
        <v>220</v>
      </c>
      <c r="B35" s="244">
        <f t="shared" si="8"/>
        <v>7.3333333333333339</v>
      </c>
      <c r="C35" s="245"/>
      <c r="D35" s="244">
        <f t="shared" si="16"/>
        <v>1.6923076923076923</v>
      </c>
      <c r="E35" s="245"/>
      <c r="F35" s="242">
        <f t="shared" si="0"/>
        <v>7.5033333333333339</v>
      </c>
      <c r="G35" s="243"/>
      <c r="H35" s="47"/>
      <c r="I35" s="48">
        <f t="shared" si="17"/>
        <v>0.13327410039982229</v>
      </c>
      <c r="J35" s="242">
        <f t="shared" si="1"/>
        <v>1.8623076923076924</v>
      </c>
      <c r="K35" s="243"/>
      <c r="L35" s="48">
        <f t="shared" si="18"/>
        <v>0.53696819496075998</v>
      </c>
      <c r="M35" s="244">
        <f t="shared" si="9"/>
        <v>4.8558059342421815</v>
      </c>
      <c r="N35" s="245"/>
      <c r="O35" s="242">
        <f t="shared" si="2"/>
        <v>4.753333333333333</v>
      </c>
      <c r="P35" s="243"/>
      <c r="Q35" s="45">
        <f t="shared" si="10"/>
        <v>0</v>
      </c>
      <c r="R35" s="38">
        <f t="shared" si="3"/>
        <v>4.753333333333333</v>
      </c>
      <c r="S35" s="48">
        <f t="shared" si="11"/>
        <v>0.21037868162692849</v>
      </c>
      <c r="T35" s="48">
        <v>0</v>
      </c>
      <c r="U35" s="48">
        <v>0</v>
      </c>
      <c r="V35" s="244">
        <f t="shared" si="12"/>
        <v>0</v>
      </c>
      <c r="W35" s="245"/>
      <c r="X35" s="47"/>
      <c r="Y35" s="48">
        <f t="shared" si="13"/>
        <v>0</v>
      </c>
      <c r="Z35" s="48">
        <f t="shared" si="4"/>
        <v>0.21037868162692849</v>
      </c>
      <c r="AA35" s="38"/>
      <c r="AB35" s="100">
        <f>1/Z35-$G$13-$G$14+$AB$16</f>
        <v>4.9433333333333334</v>
      </c>
      <c r="AC35" s="100"/>
      <c r="AD35" s="39">
        <f t="shared" si="6"/>
        <v>4.9000000000000004</v>
      </c>
      <c r="AL35" s="78">
        <f t="shared" si="14"/>
        <v>220</v>
      </c>
      <c r="AM35" s="52">
        <f t="shared" si="15"/>
        <v>4.9433333333333334</v>
      </c>
    </row>
    <row r="36" spans="1:39" x14ac:dyDescent="0.25">
      <c r="A36" s="246" t="s">
        <v>71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9"/>
    </row>
    <row r="37" spans="1:39" x14ac:dyDescent="0.25">
      <c r="A37" s="247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1"/>
    </row>
    <row r="38" spans="1:39" x14ac:dyDescent="0.25">
      <c r="A38" s="247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1"/>
    </row>
  </sheetData>
  <sheetProtection selectLockedCells="1"/>
  <mergeCells count="204">
    <mergeCell ref="V35:W35"/>
    <mergeCell ref="A36:A38"/>
    <mergeCell ref="B36:AD38"/>
    <mergeCell ref="B35:C35"/>
    <mergeCell ref="D35:E35"/>
    <mergeCell ref="F35:G35"/>
    <mergeCell ref="J35:K35"/>
    <mergeCell ref="M35:N35"/>
    <mergeCell ref="O35:P35"/>
    <mergeCell ref="V33:W33"/>
    <mergeCell ref="B34:C34"/>
    <mergeCell ref="D34:E34"/>
    <mergeCell ref="F34:G34"/>
    <mergeCell ref="J34:K34"/>
    <mergeCell ref="M34:N34"/>
    <mergeCell ref="O34:P34"/>
    <mergeCell ref="V34:W34"/>
    <mergeCell ref="B33:C33"/>
    <mergeCell ref="D33:E33"/>
    <mergeCell ref="F33:G33"/>
    <mergeCell ref="J33:K33"/>
    <mergeCell ref="M33:N33"/>
    <mergeCell ref="O33:P33"/>
    <mergeCell ref="V31:W31"/>
    <mergeCell ref="B32:C32"/>
    <mergeCell ref="D32:E32"/>
    <mergeCell ref="F32:G32"/>
    <mergeCell ref="J32:K32"/>
    <mergeCell ref="M32:N32"/>
    <mergeCell ref="O32:P32"/>
    <mergeCell ref="V32:W32"/>
    <mergeCell ref="B31:C31"/>
    <mergeCell ref="D31:E31"/>
    <mergeCell ref="F31:G31"/>
    <mergeCell ref="J31:K31"/>
    <mergeCell ref="M31:N31"/>
    <mergeCell ref="O31:P31"/>
    <mergeCell ref="V29:W29"/>
    <mergeCell ref="B30:C30"/>
    <mergeCell ref="D30:E30"/>
    <mergeCell ref="F30:G30"/>
    <mergeCell ref="J30:K30"/>
    <mergeCell ref="M30:N30"/>
    <mergeCell ref="O30:P30"/>
    <mergeCell ref="V30:W30"/>
    <mergeCell ref="B29:C29"/>
    <mergeCell ref="D29:E29"/>
    <mergeCell ref="F29:G29"/>
    <mergeCell ref="J29:K29"/>
    <mergeCell ref="M29:N29"/>
    <mergeCell ref="O29:P29"/>
    <mergeCell ref="V27:W27"/>
    <mergeCell ref="B28:C28"/>
    <mergeCell ref="D28:E28"/>
    <mergeCell ref="F28:G28"/>
    <mergeCell ref="J28:K28"/>
    <mergeCell ref="M28:N28"/>
    <mergeCell ref="O28:P28"/>
    <mergeCell ref="V28:W28"/>
    <mergeCell ref="B27:C27"/>
    <mergeCell ref="D27:E27"/>
    <mergeCell ref="F27:G27"/>
    <mergeCell ref="J27:K27"/>
    <mergeCell ref="M27:N27"/>
    <mergeCell ref="O27:P27"/>
    <mergeCell ref="V25:W25"/>
    <mergeCell ref="B26:C26"/>
    <mergeCell ref="D26:E26"/>
    <mergeCell ref="F26:G26"/>
    <mergeCell ref="J26:K26"/>
    <mergeCell ref="M26:N26"/>
    <mergeCell ref="O26:P26"/>
    <mergeCell ref="V26:W26"/>
    <mergeCell ref="B25:C25"/>
    <mergeCell ref="D25:E25"/>
    <mergeCell ref="F25:G25"/>
    <mergeCell ref="J25:K25"/>
    <mergeCell ref="M25:N25"/>
    <mergeCell ref="O25:P25"/>
    <mergeCell ref="V23:W23"/>
    <mergeCell ref="B24:C24"/>
    <mergeCell ref="D24:E24"/>
    <mergeCell ref="F24:G24"/>
    <mergeCell ref="J24:K24"/>
    <mergeCell ref="M24:N24"/>
    <mergeCell ref="O24:P24"/>
    <mergeCell ref="V24:W24"/>
    <mergeCell ref="B23:C23"/>
    <mergeCell ref="D23:E23"/>
    <mergeCell ref="F23:G23"/>
    <mergeCell ref="J23:K23"/>
    <mergeCell ref="M23:N23"/>
    <mergeCell ref="O23:P23"/>
    <mergeCell ref="V22:W22"/>
    <mergeCell ref="B22:C22"/>
    <mergeCell ref="D22:E22"/>
    <mergeCell ref="F22:G22"/>
    <mergeCell ref="J22:K22"/>
    <mergeCell ref="M22:N22"/>
    <mergeCell ref="O22:P22"/>
    <mergeCell ref="V21:W21"/>
    <mergeCell ref="B21:C21"/>
    <mergeCell ref="D21:E21"/>
    <mergeCell ref="F21:G21"/>
    <mergeCell ref="J21:K21"/>
    <mergeCell ref="M21:N21"/>
    <mergeCell ref="O21:P21"/>
    <mergeCell ref="V20:W20"/>
    <mergeCell ref="B20:C20"/>
    <mergeCell ref="D20:E20"/>
    <mergeCell ref="F20:G20"/>
    <mergeCell ref="J20:K20"/>
    <mergeCell ref="M20:N20"/>
    <mergeCell ref="O20:P20"/>
    <mergeCell ref="V19:W19"/>
    <mergeCell ref="B19:C19"/>
    <mergeCell ref="D19:E19"/>
    <mergeCell ref="F19:G19"/>
    <mergeCell ref="J19:K19"/>
    <mergeCell ref="M19:N19"/>
    <mergeCell ref="O19:P19"/>
    <mergeCell ref="V18:W18"/>
    <mergeCell ref="B18:C18"/>
    <mergeCell ref="D18:E18"/>
    <mergeCell ref="F18:G18"/>
    <mergeCell ref="J18:K18"/>
    <mergeCell ref="M18:N18"/>
    <mergeCell ref="O18:P18"/>
    <mergeCell ref="V17:W17"/>
    <mergeCell ref="B17:C17"/>
    <mergeCell ref="D17:E17"/>
    <mergeCell ref="F17:G17"/>
    <mergeCell ref="J17:K17"/>
    <mergeCell ref="M17:N17"/>
    <mergeCell ref="O17:P17"/>
    <mergeCell ref="AD13:AD16"/>
    <mergeCell ref="O6:P6"/>
    <mergeCell ref="V6:X6"/>
    <mergeCell ref="AA6:AC6"/>
    <mergeCell ref="AA7:AC7"/>
    <mergeCell ref="AA8:AC12"/>
    <mergeCell ref="B14:C16"/>
    <mergeCell ref="D14:E16"/>
    <mergeCell ref="M15:N16"/>
    <mergeCell ref="Q15:Q16"/>
    <mergeCell ref="R15:R16"/>
    <mergeCell ref="S15:S16"/>
    <mergeCell ref="G16:H16"/>
    <mergeCell ref="AD8:AD12"/>
    <mergeCell ref="M12:M14"/>
    <mergeCell ref="N12:N14"/>
    <mergeCell ref="I13:I16"/>
    <mergeCell ref="J13:K15"/>
    <mergeCell ref="L13:L16"/>
    <mergeCell ref="O13:P13"/>
    <mergeCell ref="T13:T16"/>
    <mergeCell ref="S8:S14"/>
    <mergeCell ref="T8:T12"/>
    <mergeCell ref="U8:U12"/>
    <mergeCell ref="V7:X7"/>
    <mergeCell ref="Z8:Z12"/>
    <mergeCell ref="B6:C6"/>
    <mergeCell ref="D6:E6"/>
    <mergeCell ref="F6:H6"/>
    <mergeCell ref="J6:K6"/>
    <mergeCell ref="M6:N6"/>
    <mergeCell ref="M8:M11"/>
    <mergeCell ref="N8:N11"/>
    <mergeCell ref="O8:P12"/>
    <mergeCell ref="Q8:Q14"/>
    <mergeCell ref="R8:R14"/>
    <mergeCell ref="Z13:Z16"/>
    <mergeCell ref="V8:W13"/>
    <mergeCell ref="X8:X13"/>
    <mergeCell ref="Y8:Y12"/>
    <mergeCell ref="U13:U16"/>
    <mergeCell ref="Y13:Y16"/>
    <mergeCell ref="L8:L12"/>
    <mergeCell ref="S1:AD2"/>
    <mergeCell ref="F2:G2"/>
    <mergeCell ref="A3:G3"/>
    <mergeCell ref="H3:K3"/>
    <mergeCell ref="M3:R3"/>
    <mergeCell ref="S3:AD5"/>
    <mergeCell ref="A4:G4"/>
    <mergeCell ref="H4:K4"/>
    <mergeCell ref="M4:R4"/>
    <mergeCell ref="A5:I5"/>
    <mergeCell ref="J5:K5"/>
    <mergeCell ref="M5:R5"/>
    <mergeCell ref="A8:A16"/>
    <mergeCell ref="B8:C12"/>
    <mergeCell ref="D8:E12"/>
    <mergeCell ref="F8:H12"/>
    <mergeCell ref="I8:I12"/>
    <mergeCell ref="J8:K12"/>
    <mergeCell ref="A1:G1"/>
    <mergeCell ref="I1:P2"/>
    <mergeCell ref="Q1:R2"/>
    <mergeCell ref="B7:C7"/>
    <mergeCell ref="F7:H7"/>
    <mergeCell ref="J7:K7"/>
    <mergeCell ref="M7:N7"/>
    <mergeCell ref="O7:P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 sizeWithCells="1">
                  <from>
                    <xdr:col>3</xdr:col>
                    <xdr:colOff>9525</xdr:colOff>
                    <xdr:row>0</xdr:row>
                    <xdr:rowOff>0</xdr:rowOff>
                  </from>
                  <to>
                    <xdr:col>7</xdr:col>
                    <xdr:colOff>552450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Drop Down 2">
              <controlPr defaultSize="0" autoLine="0" autoPict="0">
                <anchor moveWithCells="1" sizeWithCells="1">
                  <from>
                    <xdr:col>3</xdr:col>
                    <xdr:colOff>9525</xdr:colOff>
                    <xdr:row>2</xdr:row>
                    <xdr:rowOff>0</xdr:rowOff>
                  </from>
                  <to>
                    <xdr:col>7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Drop Down 3">
              <controlPr defaultSize="0" autoLine="0" autoPict="0">
                <anchor moveWithCells="1" sizeWithCells="1">
                  <from>
                    <xdr:col>8</xdr:col>
                    <xdr:colOff>133350</xdr:colOff>
                    <xdr:row>3</xdr:row>
                    <xdr:rowOff>219075</xdr:rowOff>
                  </from>
                  <to>
                    <xdr:col>9</xdr:col>
                    <xdr:colOff>19050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A882-DFC4-4E72-B9CF-54A128CCC684}">
  <dimension ref="A1:AP39"/>
  <sheetViews>
    <sheetView zoomScaleNormal="100" workbookViewId="0">
      <selection activeCell="I2" sqref="I2:P3"/>
    </sheetView>
  </sheetViews>
  <sheetFormatPr defaultColWidth="8.7109375" defaultRowHeight="15" x14ac:dyDescent="0.25"/>
  <cols>
    <col min="1" max="1" width="4.5703125" style="23" customWidth="1"/>
    <col min="2" max="2" width="4.140625" style="23" customWidth="1"/>
    <col min="3" max="3" width="9.140625" style="23" customWidth="1"/>
    <col min="4" max="4" width="4.42578125" style="23" customWidth="1"/>
    <col min="5" max="5" width="7.85546875" style="23" customWidth="1"/>
    <col min="6" max="6" width="4.140625" style="23" customWidth="1"/>
    <col min="7" max="7" width="4.42578125" style="23" customWidth="1"/>
    <col min="8" max="8" width="8.28515625" style="23" bestFit="1" customWidth="1"/>
    <col min="9" max="9" width="8.7109375" style="23"/>
    <col min="10" max="10" width="4.140625" style="23" customWidth="1"/>
    <col min="11" max="11" width="8.42578125" style="23" customWidth="1"/>
    <col min="12" max="12" width="7.7109375" style="23" customWidth="1"/>
    <col min="13" max="13" width="9.140625" style="23" customWidth="1"/>
    <col min="14" max="14" width="3.85546875" style="23" customWidth="1"/>
    <col min="15" max="15" width="7.140625" style="23" customWidth="1"/>
    <col min="16" max="16" width="4.5703125" style="23" customWidth="1"/>
    <col min="17" max="17" width="8.140625" style="23" customWidth="1"/>
    <col min="18" max="18" width="8.7109375" style="23"/>
    <col min="19" max="21" width="7" style="23" customWidth="1"/>
    <col min="22" max="22" width="4.140625" style="23" customWidth="1"/>
    <col min="23" max="23" width="9.28515625" style="23" customWidth="1"/>
    <col min="24" max="24" width="8.28515625" style="23" customWidth="1"/>
    <col min="25" max="26" width="7.140625" style="23" customWidth="1"/>
    <col min="27" max="27" width="5.42578125" style="23" customWidth="1"/>
    <col min="28" max="28" width="5.85546875" style="23" customWidth="1"/>
    <col min="29" max="29" width="6.28515625" style="23" customWidth="1"/>
    <col min="30" max="30" width="7.28515625" style="23" customWidth="1"/>
    <col min="31" max="31" width="8.7109375" style="23" hidden="1" customWidth="1"/>
    <col min="32" max="32" width="31.5703125" style="23" hidden="1" customWidth="1"/>
    <col min="33" max="36" width="8.7109375" style="23" hidden="1" customWidth="1"/>
    <col min="37" max="37" width="8.7109375" style="23" customWidth="1"/>
    <col min="38" max="16384" width="8.7109375" style="23"/>
  </cols>
  <sheetData>
    <row r="1" spans="1:42" x14ac:dyDescent="0.25">
      <c r="A1" s="252" t="s">
        <v>133</v>
      </c>
      <c r="B1" s="253"/>
      <c r="C1" s="253"/>
      <c r="D1" s="253"/>
      <c r="E1" s="253"/>
    </row>
    <row r="2" spans="1:42" s="21" customFormat="1" ht="17.45" customHeight="1" x14ac:dyDescent="0.25">
      <c r="A2" s="158" t="s">
        <v>72</v>
      </c>
      <c r="B2" s="158"/>
      <c r="C2" s="158"/>
      <c r="D2" s="158"/>
      <c r="E2" s="158"/>
      <c r="F2" s="158"/>
      <c r="G2" s="158"/>
      <c r="H2" s="20"/>
      <c r="I2" s="159" t="s">
        <v>142</v>
      </c>
      <c r="J2" s="159"/>
      <c r="K2" s="159"/>
      <c r="L2" s="159"/>
      <c r="M2" s="159"/>
      <c r="N2" s="159"/>
      <c r="O2" s="159"/>
      <c r="P2" s="159"/>
      <c r="Q2" s="160" t="s">
        <v>101</v>
      </c>
      <c r="R2" s="160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7">
        <v>2</v>
      </c>
      <c r="AF2" s="17" t="s">
        <v>69</v>
      </c>
      <c r="AG2" s="21">
        <v>1</v>
      </c>
      <c r="AH2" s="22">
        <v>0.17</v>
      </c>
      <c r="AI2" s="22">
        <v>0</v>
      </c>
      <c r="AJ2" s="22">
        <v>0.15</v>
      </c>
      <c r="AL2" s="55"/>
      <c r="AO2" s="51"/>
      <c r="AP2" s="51"/>
    </row>
    <row r="3" spans="1:42" s="21" customFormat="1" ht="40.5" customHeight="1" x14ac:dyDescent="0.25">
      <c r="A3" s="43" t="s">
        <v>74</v>
      </c>
      <c r="B3" s="20"/>
      <c r="C3" s="20"/>
      <c r="D3" s="20"/>
      <c r="E3" s="20"/>
      <c r="F3" s="165">
        <f>AN7</f>
        <v>0.03</v>
      </c>
      <c r="G3" s="166"/>
      <c r="H3" s="83" t="s">
        <v>100</v>
      </c>
      <c r="I3" s="159"/>
      <c r="J3" s="159"/>
      <c r="K3" s="159"/>
      <c r="L3" s="159"/>
      <c r="M3" s="159"/>
      <c r="N3" s="159"/>
      <c r="O3" s="159"/>
      <c r="P3" s="159"/>
      <c r="Q3" s="160"/>
      <c r="R3" s="160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F3" s="17" t="s">
        <v>70</v>
      </c>
      <c r="AG3" s="21">
        <f>+AG2+1</f>
        <v>2</v>
      </c>
      <c r="AH3" s="22">
        <v>0.17</v>
      </c>
      <c r="AI3" s="22">
        <v>0.17</v>
      </c>
      <c r="AJ3" s="22">
        <v>0.15</v>
      </c>
      <c r="AL3" s="64" t="s">
        <v>84</v>
      </c>
      <c r="AM3" s="49"/>
      <c r="AN3" s="67"/>
      <c r="AO3" s="65" t="s">
        <v>76</v>
      </c>
      <c r="AP3" s="65" t="s">
        <v>77</v>
      </c>
    </row>
    <row r="4" spans="1:42" s="21" customFormat="1" ht="17.45" customHeight="1" x14ac:dyDescent="0.25">
      <c r="A4" s="158" t="s">
        <v>73</v>
      </c>
      <c r="B4" s="158"/>
      <c r="C4" s="158"/>
      <c r="D4" s="158"/>
      <c r="E4" s="158"/>
      <c r="F4" s="158"/>
      <c r="G4" s="158"/>
      <c r="H4" s="167"/>
      <c r="I4" s="167"/>
      <c r="J4" s="167"/>
      <c r="K4" s="167"/>
      <c r="L4" s="42">
        <v>8</v>
      </c>
      <c r="M4" s="168" t="str">
        <f>+IF(AE6=1,IF(ISBLANK(L4),"","geen waarde invullen"),IF(AND(AE6&gt;1,L4=0),"aantal bevestigers invullen","stuks/m²"))</f>
        <v>stuks/m²</v>
      </c>
      <c r="N4" s="168"/>
      <c r="O4" s="168"/>
      <c r="P4" s="168"/>
      <c r="Q4" s="168"/>
      <c r="R4" s="168"/>
      <c r="S4" s="169" t="s">
        <v>121</v>
      </c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F4" s="17" t="s">
        <v>46</v>
      </c>
      <c r="AG4" s="21">
        <f>+AG3+1</f>
        <v>3</v>
      </c>
      <c r="AH4" s="22">
        <v>0.13</v>
      </c>
      <c r="AI4" s="22">
        <v>0.04</v>
      </c>
      <c r="AJ4" s="22">
        <v>0.36</v>
      </c>
      <c r="AL4" s="111" t="s">
        <v>99</v>
      </c>
      <c r="AM4" s="58" t="s">
        <v>96</v>
      </c>
      <c r="AN4" s="68">
        <v>0.03</v>
      </c>
      <c r="AO4" s="50"/>
      <c r="AP4" s="50"/>
    </row>
    <row r="5" spans="1:42" s="21" customFormat="1" ht="17.45" customHeight="1" x14ac:dyDescent="0.25">
      <c r="A5" s="172"/>
      <c r="B5" s="172"/>
      <c r="C5" s="172"/>
      <c r="D5" s="172"/>
      <c r="E5" s="172"/>
      <c r="F5" s="172"/>
      <c r="G5" s="172"/>
      <c r="H5" s="167" t="str">
        <f>+IF(AE6&gt;1,"diameter bevestiger","")</f>
        <v>diameter bevestiger</v>
      </c>
      <c r="I5" s="167"/>
      <c r="J5" s="167"/>
      <c r="K5" s="167"/>
      <c r="L5" s="42">
        <v>4</v>
      </c>
      <c r="M5" s="173" t="str">
        <f>+IF(AE6=1,IF(ISBLANK(L5),"","geen waarde invullen"),IF(AND(AE6&gt;1,L5=0),"diameter bevestigers invullen","mm"))</f>
        <v>mm</v>
      </c>
      <c r="N5" s="173"/>
      <c r="O5" s="173"/>
      <c r="P5" s="173"/>
      <c r="Q5" s="173"/>
      <c r="R5" s="173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F5" s="17" t="s">
        <v>47</v>
      </c>
      <c r="AG5" s="21">
        <f>+AG4+1</f>
        <v>4</v>
      </c>
      <c r="AH5" s="22">
        <v>0.1</v>
      </c>
      <c r="AI5" s="22">
        <v>0.04</v>
      </c>
      <c r="AJ5" s="22">
        <v>0.22</v>
      </c>
      <c r="AL5" s="112"/>
      <c r="AM5" s="21" t="s">
        <v>75</v>
      </c>
      <c r="AN5" s="50"/>
      <c r="AO5" s="66">
        <v>1</v>
      </c>
      <c r="AP5" s="66">
        <v>1</v>
      </c>
    </row>
    <row r="6" spans="1:42" s="21" customFormat="1" ht="17.45" customHeight="1" thickBot="1" x14ac:dyDescent="0.3">
      <c r="A6" s="174" t="s">
        <v>68</v>
      </c>
      <c r="B6" s="174"/>
      <c r="C6" s="174"/>
      <c r="D6" s="174"/>
      <c r="E6" s="174"/>
      <c r="F6" s="174"/>
      <c r="G6" s="174"/>
      <c r="H6" s="174"/>
      <c r="I6" s="174"/>
      <c r="J6" s="175" t="str">
        <f>+IF(AE10=1,"hout %","")</f>
        <v/>
      </c>
      <c r="K6" s="175"/>
      <c r="L6" s="18">
        <v>6.5000000000000002E-2</v>
      </c>
      <c r="M6" s="176" t="str">
        <f>+IF(AE10=2,IF(ISBLANK(L6),"","geen waarde invullen"),IF(AND(AE10=1,ISNUMBER(L6),L6&gt;0),"","percentage invullen"))</f>
        <v>geen waarde invullen</v>
      </c>
      <c r="N6" s="176"/>
      <c r="O6" s="176"/>
      <c r="P6" s="176"/>
      <c r="Q6" s="176"/>
      <c r="R6" s="176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9">
        <v>2</v>
      </c>
      <c r="AF6" s="19" t="s">
        <v>57</v>
      </c>
      <c r="AG6" s="23">
        <v>1</v>
      </c>
      <c r="AH6" s="24" t="s">
        <v>62</v>
      </c>
      <c r="AI6" s="25" t="s">
        <v>60</v>
      </c>
      <c r="AL6" s="112"/>
      <c r="AM6" s="21" t="s">
        <v>97</v>
      </c>
      <c r="AN6" s="82">
        <f>AN4*AO5*AP5</f>
        <v>0.03</v>
      </c>
      <c r="AO6" s="50"/>
      <c r="AP6" s="50"/>
    </row>
    <row r="7" spans="1:42" ht="13.5" customHeight="1" x14ac:dyDescent="0.25">
      <c r="A7" s="26" t="s">
        <v>63</v>
      </c>
      <c r="B7" s="177" t="s">
        <v>27</v>
      </c>
      <c r="C7" s="178"/>
      <c r="D7" s="177" t="s">
        <v>28</v>
      </c>
      <c r="E7" s="178"/>
      <c r="F7" s="177" t="s">
        <v>29</v>
      </c>
      <c r="G7" s="179"/>
      <c r="H7" s="178"/>
      <c r="I7" s="9" t="s">
        <v>30</v>
      </c>
      <c r="J7" s="177" t="s">
        <v>31</v>
      </c>
      <c r="K7" s="178"/>
      <c r="L7" s="13" t="s">
        <v>32</v>
      </c>
      <c r="M7" s="177" t="s">
        <v>33</v>
      </c>
      <c r="N7" s="179"/>
      <c r="O7" s="177" t="s">
        <v>34</v>
      </c>
      <c r="P7" s="179"/>
      <c r="Q7" s="13" t="s">
        <v>21</v>
      </c>
      <c r="R7" s="9" t="s">
        <v>35</v>
      </c>
      <c r="S7" s="13" t="s">
        <v>36</v>
      </c>
      <c r="T7" s="9" t="s">
        <v>37</v>
      </c>
      <c r="U7" s="9" t="s">
        <v>38</v>
      </c>
      <c r="V7" s="177" t="s">
        <v>39</v>
      </c>
      <c r="W7" s="179"/>
      <c r="X7" s="178"/>
      <c r="Y7" s="9" t="s">
        <v>1</v>
      </c>
      <c r="Z7" s="11" t="s">
        <v>40</v>
      </c>
      <c r="AA7" s="205" t="s">
        <v>41</v>
      </c>
      <c r="AB7" s="206"/>
      <c r="AC7" s="207"/>
      <c r="AD7" s="13" t="s">
        <v>41</v>
      </c>
      <c r="AF7" s="19" t="s">
        <v>58</v>
      </c>
      <c r="AG7" s="23">
        <f>+AG6+1</f>
        <v>2</v>
      </c>
      <c r="AH7" s="23">
        <v>50</v>
      </c>
      <c r="AI7" s="23" t="s">
        <v>61</v>
      </c>
      <c r="AL7" s="113"/>
      <c r="AM7" s="62" t="s">
        <v>98</v>
      </c>
      <c r="AN7" s="69">
        <f>AN6</f>
        <v>0.03</v>
      </c>
      <c r="AO7" s="63"/>
      <c r="AP7" s="63"/>
    </row>
    <row r="8" spans="1:42" ht="13.5" customHeight="1" x14ac:dyDescent="0.25">
      <c r="A8" s="27"/>
      <c r="B8" s="161" t="s">
        <v>56</v>
      </c>
      <c r="C8" s="162"/>
      <c r="D8" s="10"/>
      <c r="E8" s="28"/>
      <c r="F8" s="161" t="s">
        <v>44</v>
      </c>
      <c r="G8" s="163"/>
      <c r="H8" s="162"/>
      <c r="I8" s="10" t="s">
        <v>43</v>
      </c>
      <c r="J8" s="161" t="s">
        <v>44</v>
      </c>
      <c r="K8" s="162"/>
      <c r="L8" s="14" t="s">
        <v>43</v>
      </c>
      <c r="M8" s="161" t="s">
        <v>54</v>
      </c>
      <c r="N8" s="163"/>
      <c r="O8" s="161" t="s">
        <v>55</v>
      </c>
      <c r="P8" s="163"/>
      <c r="Q8" s="14" t="s">
        <v>52</v>
      </c>
      <c r="R8" s="10" t="s">
        <v>53</v>
      </c>
      <c r="S8" s="14" t="s">
        <v>43</v>
      </c>
      <c r="T8" s="10" t="s">
        <v>49</v>
      </c>
      <c r="U8" s="10">
        <v>8.1300000000000008</v>
      </c>
      <c r="V8" s="161" t="s">
        <v>50</v>
      </c>
      <c r="W8" s="163"/>
      <c r="X8" s="162"/>
      <c r="Y8" s="10" t="s">
        <v>48</v>
      </c>
      <c r="Z8" s="12" t="s">
        <v>42</v>
      </c>
      <c r="AA8" s="208" t="s">
        <v>51</v>
      </c>
      <c r="AB8" s="209"/>
      <c r="AC8" s="210"/>
      <c r="AD8" s="14"/>
      <c r="AF8" s="19" t="s">
        <v>59</v>
      </c>
      <c r="AG8" s="23">
        <f>+AG7+1</f>
        <v>3</v>
      </c>
      <c r="AH8" s="23">
        <v>17</v>
      </c>
      <c r="AI8" s="23" t="s">
        <v>61</v>
      </c>
    </row>
    <row r="9" spans="1:42" ht="13.5" customHeight="1" x14ac:dyDescent="0.25">
      <c r="A9" s="146" t="s">
        <v>65</v>
      </c>
      <c r="B9" s="149" t="s">
        <v>3</v>
      </c>
      <c r="C9" s="150"/>
      <c r="D9" s="149" t="s">
        <v>3</v>
      </c>
      <c r="E9" s="150"/>
      <c r="F9" s="149" t="s">
        <v>117</v>
      </c>
      <c r="G9" s="150"/>
      <c r="H9" s="155"/>
      <c r="I9" s="149" t="s">
        <v>9</v>
      </c>
      <c r="J9" s="149" t="s">
        <v>15</v>
      </c>
      <c r="K9" s="150"/>
      <c r="L9" s="199" t="s">
        <v>9</v>
      </c>
      <c r="M9" s="180" t="s">
        <v>13</v>
      </c>
      <c r="N9" s="182" t="s">
        <v>14</v>
      </c>
      <c r="O9" s="149" t="s">
        <v>119</v>
      </c>
      <c r="P9" s="155"/>
      <c r="Q9" s="184" t="s">
        <v>116</v>
      </c>
      <c r="R9" s="187" t="s">
        <v>115</v>
      </c>
      <c r="S9" s="239" t="s">
        <v>23</v>
      </c>
      <c r="T9" s="149" t="s">
        <v>24</v>
      </c>
      <c r="U9" s="199" t="s">
        <v>25</v>
      </c>
      <c r="V9" s="149" t="s">
        <v>22</v>
      </c>
      <c r="W9" s="150"/>
      <c r="X9" s="193" t="s">
        <v>26</v>
      </c>
      <c r="Y9" s="149" t="s">
        <v>0</v>
      </c>
      <c r="Z9" s="149" t="s">
        <v>2</v>
      </c>
      <c r="AA9" s="149" t="s">
        <v>120</v>
      </c>
      <c r="AB9" s="211"/>
      <c r="AC9" s="212"/>
      <c r="AD9" s="224" t="s">
        <v>4</v>
      </c>
      <c r="AF9" s="23" t="s">
        <v>134</v>
      </c>
      <c r="AG9" s="23">
        <v>4</v>
      </c>
      <c r="AH9" s="29">
        <v>0.52</v>
      </c>
      <c r="AI9" s="23" t="s">
        <v>61</v>
      </c>
    </row>
    <row r="10" spans="1:42" ht="13.5" customHeight="1" x14ac:dyDescent="0.25">
      <c r="A10" s="147"/>
      <c r="B10" s="151"/>
      <c r="C10" s="152"/>
      <c r="D10" s="151"/>
      <c r="E10" s="152"/>
      <c r="F10" s="151"/>
      <c r="G10" s="152"/>
      <c r="H10" s="156"/>
      <c r="I10" s="151"/>
      <c r="J10" s="151"/>
      <c r="K10" s="152"/>
      <c r="L10" s="200"/>
      <c r="M10" s="181"/>
      <c r="N10" s="183"/>
      <c r="O10" s="151"/>
      <c r="P10" s="156"/>
      <c r="Q10" s="185"/>
      <c r="R10" s="188"/>
      <c r="S10" s="240"/>
      <c r="T10" s="151"/>
      <c r="U10" s="200"/>
      <c r="V10" s="151"/>
      <c r="W10" s="152"/>
      <c r="X10" s="194"/>
      <c r="Y10" s="151"/>
      <c r="Z10" s="151"/>
      <c r="AA10" s="213"/>
      <c r="AB10" s="214"/>
      <c r="AC10" s="215"/>
      <c r="AD10" s="225"/>
      <c r="AE10" s="19">
        <v>2</v>
      </c>
      <c r="AF10" s="19" t="s">
        <v>66</v>
      </c>
      <c r="AG10" s="29"/>
      <c r="AH10" s="29"/>
      <c r="AI10" s="29"/>
      <c r="AJ10" s="29"/>
    </row>
    <row r="11" spans="1:42" ht="13.5" customHeight="1" x14ac:dyDescent="0.25">
      <c r="A11" s="147"/>
      <c r="B11" s="151"/>
      <c r="C11" s="152"/>
      <c r="D11" s="151"/>
      <c r="E11" s="152"/>
      <c r="F11" s="151"/>
      <c r="G11" s="152"/>
      <c r="H11" s="156"/>
      <c r="I11" s="151"/>
      <c r="J11" s="151"/>
      <c r="K11" s="152"/>
      <c r="L11" s="200"/>
      <c r="M11" s="181"/>
      <c r="N11" s="183"/>
      <c r="O11" s="151"/>
      <c r="P11" s="156"/>
      <c r="Q11" s="185"/>
      <c r="R11" s="188"/>
      <c r="S11" s="240"/>
      <c r="T11" s="151"/>
      <c r="U11" s="200"/>
      <c r="V11" s="151"/>
      <c r="W11" s="152"/>
      <c r="X11" s="194"/>
      <c r="Y11" s="151"/>
      <c r="Z11" s="151"/>
      <c r="AA11" s="213"/>
      <c r="AB11" s="214"/>
      <c r="AC11" s="215"/>
      <c r="AD11" s="225"/>
      <c r="AF11" s="19" t="s">
        <v>67</v>
      </c>
      <c r="AJ11" s="29"/>
    </row>
    <row r="12" spans="1:42" ht="13.5" customHeight="1" x14ac:dyDescent="0.25">
      <c r="A12" s="147"/>
      <c r="B12" s="151"/>
      <c r="C12" s="152"/>
      <c r="D12" s="151"/>
      <c r="E12" s="152"/>
      <c r="F12" s="151"/>
      <c r="G12" s="152"/>
      <c r="H12" s="156"/>
      <c r="I12" s="151"/>
      <c r="J12" s="151"/>
      <c r="K12" s="152"/>
      <c r="L12" s="200"/>
      <c r="M12" s="181"/>
      <c r="N12" s="183"/>
      <c r="O12" s="151"/>
      <c r="P12" s="156"/>
      <c r="Q12" s="185"/>
      <c r="R12" s="188"/>
      <c r="S12" s="240"/>
      <c r="T12" s="151"/>
      <c r="U12" s="200"/>
      <c r="V12" s="151"/>
      <c r="W12" s="152"/>
      <c r="X12" s="194"/>
      <c r="Y12" s="151"/>
      <c r="Z12" s="151"/>
      <c r="AA12" s="213"/>
      <c r="AB12" s="214"/>
      <c r="AC12" s="215"/>
      <c r="AD12" s="225"/>
      <c r="AH12" s="29"/>
      <c r="AI12" s="29"/>
      <c r="AJ12" s="29"/>
    </row>
    <row r="13" spans="1:42" ht="13.5" customHeight="1" x14ac:dyDescent="0.25">
      <c r="A13" s="147"/>
      <c r="B13" s="153"/>
      <c r="C13" s="154"/>
      <c r="D13" s="153"/>
      <c r="E13" s="154"/>
      <c r="F13" s="153"/>
      <c r="G13" s="154"/>
      <c r="H13" s="157"/>
      <c r="I13" s="153"/>
      <c r="J13" s="153"/>
      <c r="K13" s="154"/>
      <c r="L13" s="201"/>
      <c r="M13" s="227" t="str">
        <f>+CONCATENATE(G17*100,"% x")</f>
        <v>100% x</v>
      </c>
      <c r="N13" s="229" t="str">
        <f>+CONCATENATE(ROUND(K17*100,1),"% x")</f>
        <v>0% x</v>
      </c>
      <c r="O13" s="153"/>
      <c r="P13" s="157"/>
      <c r="Q13" s="185"/>
      <c r="R13" s="188"/>
      <c r="S13" s="240"/>
      <c r="T13" s="153"/>
      <c r="U13" s="201"/>
      <c r="V13" s="151"/>
      <c r="W13" s="152"/>
      <c r="X13" s="194"/>
      <c r="Y13" s="153"/>
      <c r="Z13" s="153"/>
      <c r="AA13" s="213"/>
      <c r="AB13" s="214"/>
      <c r="AC13" s="215"/>
      <c r="AD13" s="226"/>
      <c r="AF13" s="30"/>
      <c r="AH13" s="29"/>
      <c r="AI13" s="29"/>
      <c r="AJ13" s="29"/>
    </row>
    <row r="14" spans="1:42" ht="13.5" customHeight="1" x14ac:dyDescent="0.25">
      <c r="A14" s="147"/>
      <c r="B14" s="1" t="s">
        <v>11</v>
      </c>
      <c r="C14" s="31">
        <f>+F3</f>
        <v>0.03</v>
      </c>
      <c r="D14" s="1" t="s">
        <v>12</v>
      </c>
      <c r="E14" s="31">
        <v>0.13</v>
      </c>
      <c r="F14" s="1" t="s">
        <v>8</v>
      </c>
      <c r="G14" s="32">
        <f>+VLOOKUP(AE2,AG2:AJ5,2)</f>
        <v>0.17</v>
      </c>
      <c r="H14" s="32" t="s">
        <v>45</v>
      </c>
      <c r="I14" s="196"/>
      <c r="J14" s="231"/>
      <c r="K14" s="232"/>
      <c r="L14" s="235"/>
      <c r="M14" s="227"/>
      <c r="N14" s="229"/>
      <c r="O14" s="191" t="s">
        <v>18</v>
      </c>
      <c r="P14" s="238"/>
      <c r="Q14" s="185"/>
      <c r="R14" s="188"/>
      <c r="S14" s="240"/>
      <c r="T14" s="196"/>
      <c r="U14" s="196"/>
      <c r="V14" s="153"/>
      <c r="W14" s="154"/>
      <c r="X14" s="195"/>
      <c r="Y14" s="196"/>
      <c r="Z14" s="190"/>
      <c r="AA14" s="99"/>
      <c r="AB14" s="101"/>
      <c r="AC14" s="102"/>
      <c r="AD14" s="202"/>
      <c r="AH14" s="29"/>
      <c r="AI14" s="29"/>
      <c r="AJ14" s="29"/>
      <c r="AK14" s="29"/>
    </row>
    <row r="15" spans="1:42" ht="13.5" customHeight="1" x14ac:dyDescent="0.25">
      <c r="A15" s="147"/>
      <c r="B15" s="216" t="s">
        <v>64</v>
      </c>
      <c r="C15" s="217"/>
      <c r="D15" s="216" t="s">
        <v>61</v>
      </c>
      <c r="E15" s="217"/>
      <c r="F15" s="1" t="s">
        <v>10</v>
      </c>
      <c r="G15" s="32">
        <f>+VLOOKUP(AE2,AG2:AJ5,3)</f>
        <v>0.17</v>
      </c>
      <c r="H15" s="32" t="s">
        <v>45</v>
      </c>
      <c r="I15" s="197"/>
      <c r="J15" s="233"/>
      <c r="K15" s="234"/>
      <c r="L15" s="236"/>
      <c r="M15" s="228"/>
      <c r="N15" s="230"/>
      <c r="O15" s="1" t="str">
        <f>+CONCATENATE(G17*100,"% x")</f>
        <v>100% x</v>
      </c>
      <c r="P15" s="2" t="s">
        <v>19</v>
      </c>
      <c r="Q15" s="186"/>
      <c r="R15" s="189"/>
      <c r="S15" s="241"/>
      <c r="T15" s="197"/>
      <c r="U15" s="197"/>
      <c r="V15" s="33" t="s">
        <v>5</v>
      </c>
      <c r="W15" s="32">
        <f>+IF(AND(ISNUMBER(L4),L4&gt;0),L4,"n.v.t.")</f>
        <v>8</v>
      </c>
      <c r="X15" s="8" t="str">
        <f>+IF(W15="n.v.t.","","stuks/m²")</f>
        <v>stuks/m²</v>
      </c>
      <c r="Y15" s="197"/>
      <c r="Z15" s="191"/>
      <c r="AA15" s="98"/>
      <c r="AB15" s="103"/>
      <c r="AC15" s="104"/>
      <c r="AD15" s="203"/>
    </row>
    <row r="16" spans="1:42" ht="13.5" customHeight="1" x14ac:dyDescent="0.25">
      <c r="A16" s="147"/>
      <c r="B16" s="216"/>
      <c r="C16" s="217"/>
      <c r="D16" s="216"/>
      <c r="E16" s="217"/>
      <c r="F16" s="34"/>
      <c r="G16" s="32"/>
      <c r="H16" s="32"/>
      <c r="I16" s="197"/>
      <c r="J16" s="233"/>
      <c r="K16" s="234"/>
      <c r="L16" s="236"/>
      <c r="M16" s="190"/>
      <c r="N16" s="220"/>
      <c r="O16" s="1" t="str">
        <f>+CONCATENATE(ROUND(K17*100,1),"% x")</f>
        <v>0% x</v>
      </c>
      <c r="P16" s="2" t="s">
        <v>20</v>
      </c>
      <c r="Q16" s="196"/>
      <c r="R16" s="196"/>
      <c r="S16" s="196"/>
      <c r="T16" s="197"/>
      <c r="U16" s="197"/>
      <c r="V16" s="5" t="s">
        <v>6</v>
      </c>
      <c r="W16" s="6">
        <f>+VLOOKUP(AE6,AG6:AI9,2)</f>
        <v>50</v>
      </c>
      <c r="X16" s="8" t="str">
        <f>+VLOOKUP(AE6,AG6:AI8,3)</f>
        <v>tabel H.1</v>
      </c>
      <c r="Y16" s="197"/>
      <c r="Z16" s="191"/>
      <c r="AA16" s="98"/>
      <c r="AB16" s="103"/>
      <c r="AC16" s="104"/>
      <c r="AD16" s="203"/>
      <c r="AF16" s="24" t="s">
        <v>60</v>
      </c>
      <c r="AL16" s="53"/>
      <c r="AM16" s="56"/>
    </row>
    <row r="17" spans="1:39" ht="13.5" customHeight="1" thickBot="1" x14ac:dyDescent="0.3">
      <c r="A17" s="148"/>
      <c r="B17" s="218"/>
      <c r="C17" s="219"/>
      <c r="D17" s="218"/>
      <c r="E17" s="219"/>
      <c r="F17" s="3" t="s">
        <v>17</v>
      </c>
      <c r="G17" s="222">
        <f>1-K17</f>
        <v>1</v>
      </c>
      <c r="H17" s="223"/>
      <c r="I17" s="198"/>
      <c r="J17" s="16" t="s">
        <v>16</v>
      </c>
      <c r="K17" s="35">
        <f>+IF(AE10=1,L6,0)</f>
        <v>0</v>
      </c>
      <c r="L17" s="237"/>
      <c r="M17" s="192"/>
      <c r="N17" s="221"/>
      <c r="O17" s="44"/>
      <c r="P17" s="4"/>
      <c r="Q17" s="198"/>
      <c r="R17" s="198"/>
      <c r="S17" s="198"/>
      <c r="T17" s="198"/>
      <c r="U17" s="198"/>
      <c r="V17" s="7" t="s">
        <v>7</v>
      </c>
      <c r="W17" s="36">
        <f>+IF(AND(ISNUMBER(L5),L5&gt;0),L5,"n.v.t.")</f>
        <v>4</v>
      </c>
      <c r="X17" s="15" t="str">
        <f>+IF(W17="n.v.t.","","mm")</f>
        <v>mm</v>
      </c>
      <c r="Y17" s="198"/>
      <c r="Z17" s="192"/>
      <c r="AA17" s="105" t="s">
        <v>118</v>
      </c>
      <c r="AB17" s="106">
        <f>+VLOOKUP(AE2,AG2:AJ5,4)</f>
        <v>0.15</v>
      </c>
      <c r="AC17" s="107" t="s">
        <v>65</v>
      </c>
      <c r="AD17" s="204"/>
      <c r="AL17" s="54" t="s">
        <v>83</v>
      </c>
      <c r="AM17" s="84" t="s">
        <v>102</v>
      </c>
    </row>
    <row r="18" spans="1:39" ht="13.5" customHeight="1" x14ac:dyDescent="0.25">
      <c r="A18" s="23">
        <v>40</v>
      </c>
      <c r="B18" s="242">
        <f>+$A18*0.001/C$14</f>
        <v>1.3333333333333335</v>
      </c>
      <c r="C18" s="243"/>
      <c r="D18" s="242">
        <f>+$A18*0.001/E$14</f>
        <v>0.30769230769230771</v>
      </c>
      <c r="E18" s="243"/>
      <c r="F18" s="242">
        <f t="shared" ref="F18:F36" si="0">(B18+$G$14+$G$15)</f>
        <v>1.6733333333333333</v>
      </c>
      <c r="G18" s="243"/>
      <c r="H18" s="46"/>
      <c r="I18" s="38">
        <f>1/F18</f>
        <v>0.59760956175298807</v>
      </c>
      <c r="J18" s="242">
        <f t="shared" ref="J18:J36" si="1">(D18+$G$14+$G$15)</f>
        <v>0.64769230769230779</v>
      </c>
      <c r="K18" s="243"/>
      <c r="L18" s="38">
        <f>1/J18</f>
        <v>1.5439429928741091</v>
      </c>
      <c r="M18" s="242">
        <f>1/($G$17*I18+$K$17*L18)</f>
        <v>1.6733333333333333</v>
      </c>
      <c r="N18" s="243"/>
      <c r="O18" s="242">
        <f t="shared" ref="O18:O36" si="2">+A18*0.001/($G$17*$C$14+$K$17*$E$14)+$G$14+$G$15</f>
        <v>1.6733333333333333</v>
      </c>
      <c r="P18" s="243"/>
      <c r="Q18" s="45">
        <f t="shared" ref="Q18:Q36" si="3">+IF(M18/(O18)&lt;1.05,0,1)</f>
        <v>0</v>
      </c>
      <c r="R18" s="38">
        <f t="shared" ref="R18:R36" si="4">+((Q18*M18+O18)/(1+1.05*Q18))</f>
        <v>1.6733333333333333</v>
      </c>
      <c r="S18" s="38">
        <f>1/R18</f>
        <v>0.59760956175298807</v>
      </c>
      <c r="T18" s="38">
        <v>0</v>
      </c>
      <c r="U18" s="38">
        <v>0</v>
      </c>
      <c r="V18" s="242">
        <f>+IF(ISNUMBER($W$16),POWER(B18/R18,2)*((0.8*A18/A18)*($L$4*$W$16*PI()*POWER(($L$5/2)*0.001,2))/(A18*0.001)),0)</f>
        <v>6.3828170927365216E-2</v>
      </c>
      <c r="W18" s="243"/>
      <c r="X18" s="46"/>
      <c r="Y18" s="38">
        <f>T18+U18+V18</f>
        <v>6.3828170927365216E-2</v>
      </c>
      <c r="Z18" s="38">
        <f t="shared" ref="Z18:Z36" si="5">S18/1+Y18</f>
        <v>0.66143773268035333</v>
      </c>
      <c r="AA18" s="38"/>
      <c r="AB18" s="100">
        <f t="shared" ref="AB18:AB36" si="6">1/Z18-$G$14-$G$15+$AB$17</f>
        <v>1.3218581093758985</v>
      </c>
      <c r="AC18" s="100"/>
      <c r="AD18" s="39">
        <f t="shared" ref="AD18:AD36" si="7">ROUND(AB18,1)</f>
        <v>1.3</v>
      </c>
      <c r="AE18" s="37"/>
      <c r="AL18" s="78">
        <f>A18</f>
        <v>40</v>
      </c>
      <c r="AM18" s="52">
        <f>AB18</f>
        <v>1.3218581093758985</v>
      </c>
    </row>
    <row r="19" spans="1:39" ht="13.5" customHeight="1" x14ac:dyDescent="0.25">
      <c r="A19" s="23">
        <f t="shared" ref="A19:A24" si="8">+A18+10</f>
        <v>50</v>
      </c>
      <c r="B19" s="242">
        <f t="shared" ref="B19:B36" si="9">+$A19*0.001/C$14</f>
        <v>1.6666666666666667</v>
      </c>
      <c r="C19" s="243"/>
      <c r="D19" s="242">
        <f>+$A19*0.001/E$14</f>
        <v>0.38461538461538464</v>
      </c>
      <c r="E19" s="243"/>
      <c r="F19" s="242">
        <f t="shared" si="0"/>
        <v>2.0066666666666668</v>
      </c>
      <c r="G19" s="243"/>
      <c r="H19" s="46"/>
      <c r="I19" s="38">
        <f>1/F19</f>
        <v>0.49833887043189368</v>
      </c>
      <c r="J19" s="242">
        <f t="shared" si="1"/>
        <v>0.72461538461538466</v>
      </c>
      <c r="K19" s="243"/>
      <c r="L19" s="38">
        <f>1/J19</f>
        <v>1.3800424628450105</v>
      </c>
      <c r="M19" s="242">
        <f t="shared" ref="M19:M36" si="10">1/($G$17*I19+$K$17*L19)</f>
        <v>2.0066666666666668</v>
      </c>
      <c r="N19" s="243"/>
      <c r="O19" s="242">
        <f t="shared" si="2"/>
        <v>2.0066666666666668</v>
      </c>
      <c r="P19" s="243"/>
      <c r="Q19" s="45">
        <f t="shared" si="3"/>
        <v>0</v>
      </c>
      <c r="R19" s="38">
        <f t="shared" si="4"/>
        <v>2.0066666666666668</v>
      </c>
      <c r="S19" s="38">
        <f t="shared" ref="S19:S36" si="11">1/R19</f>
        <v>0.49833887043189368</v>
      </c>
      <c r="T19" s="38">
        <v>0</v>
      </c>
      <c r="U19" s="38">
        <v>0</v>
      </c>
      <c r="V19" s="242">
        <f t="shared" ref="V19:V36" si="12">+IF(ISNUMBER($W$16),POWER(B19/R19,2)*((0.8*A19/A19)*($L$4*$W$16*PI()*POWER(($L$5/2)*0.001,2))/(A19*0.001)),0)</f>
        <v>5.5480052601446658E-2</v>
      </c>
      <c r="W19" s="243"/>
      <c r="X19" s="46"/>
      <c r="Y19" s="38">
        <f t="shared" ref="Y19:Y36" si="13">T19+U19+V19</f>
        <v>5.5480052601446658E-2</v>
      </c>
      <c r="Z19" s="38">
        <f t="shared" si="5"/>
        <v>0.55381892303334035</v>
      </c>
      <c r="AA19" s="38"/>
      <c r="AB19" s="100">
        <f t="shared" si="6"/>
        <v>1.6156443332106931</v>
      </c>
      <c r="AC19" s="100"/>
      <c r="AD19" s="39">
        <f t="shared" si="7"/>
        <v>1.6</v>
      </c>
      <c r="AL19" s="78">
        <f t="shared" ref="AL19:AL36" si="14">A19</f>
        <v>50</v>
      </c>
      <c r="AM19" s="52">
        <f t="shared" ref="AM19:AM36" si="15">AB19</f>
        <v>1.6156443332106931</v>
      </c>
    </row>
    <row r="20" spans="1:39" ht="13.5" customHeight="1" x14ac:dyDescent="0.25">
      <c r="A20" s="23">
        <f t="shared" si="8"/>
        <v>60</v>
      </c>
      <c r="B20" s="242">
        <f t="shared" si="9"/>
        <v>2</v>
      </c>
      <c r="C20" s="243"/>
      <c r="D20" s="242">
        <f t="shared" ref="D20:D36" si="16">+$A20*0.001/E$14</f>
        <v>0.46153846153846151</v>
      </c>
      <c r="E20" s="243"/>
      <c r="F20" s="242">
        <f t="shared" si="0"/>
        <v>2.34</v>
      </c>
      <c r="G20" s="243"/>
      <c r="H20" s="46"/>
      <c r="I20" s="38">
        <f t="shared" ref="I20:I36" si="17">1/F20</f>
        <v>0.42735042735042739</v>
      </c>
      <c r="J20" s="242">
        <f t="shared" si="1"/>
        <v>0.80153846153846153</v>
      </c>
      <c r="K20" s="243"/>
      <c r="L20" s="38">
        <f t="shared" ref="L20:L36" si="18">1/J20</f>
        <v>1.2476007677543186</v>
      </c>
      <c r="M20" s="242">
        <f t="shared" si="10"/>
        <v>2.34</v>
      </c>
      <c r="N20" s="243"/>
      <c r="O20" s="242">
        <f t="shared" si="2"/>
        <v>2.34</v>
      </c>
      <c r="P20" s="243"/>
      <c r="Q20" s="45">
        <f t="shared" si="3"/>
        <v>0</v>
      </c>
      <c r="R20" s="38">
        <f t="shared" si="4"/>
        <v>2.34</v>
      </c>
      <c r="S20" s="38">
        <f t="shared" si="11"/>
        <v>0.42735042735042739</v>
      </c>
      <c r="T20" s="38">
        <v>0</v>
      </c>
      <c r="U20" s="38">
        <v>0</v>
      </c>
      <c r="V20" s="242">
        <f t="shared" si="12"/>
        <v>4.8959488112047825E-2</v>
      </c>
      <c r="W20" s="243"/>
      <c r="X20" s="46"/>
      <c r="Y20" s="38">
        <f t="shared" si="13"/>
        <v>4.8959488112047825E-2</v>
      </c>
      <c r="Z20" s="38">
        <f t="shared" si="5"/>
        <v>0.4763099154624752</v>
      </c>
      <c r="AA20" s="38"/>
      <c r="AB20" s="100">
        <f t="shared" si="6"/>
        <v>1.9094734048923705</v>
      </c>
      <c r="AC20" s="100"/>
      <c r="AD20" s="39">
        <f t="shared" si="7"/>
        <v>1.9</v>
      </c>
      <c r="AL20" s="78">
        <f t="shared" si="14"/>
        <v>60</v>
      </c>
      <c r="AM20" s="52">
        <f t="shared" si="15"/>
        <v>1.9094734048923705</v>
      </c>
    </row>
    <row r="21" spans="1:39" ht="13.5" customHeight="1" x14ac:dyDescent="0.25">
      <c r="A21" s="23">
        <f t="shared" si="8"/>
        <v>70</v>
      </c>
      <c r="B21" s="242">
        <f t="shared" si="9"/>
        <v>2.3333333333333335</v>
      </c>
      <c r="C21" s="243"/>
      <c r="D21" s="242">
        <f t="shared" si="16"/>
        <v>0.53846153846153855</v>
      </c>
      <c r="E21" s="243"/>
      <c r="F21" s="242">
        <f t="shared" si="0"/>
        <v>2.6733333333333333</v>
      </c>
      <c r="G21" s="243"/>
      <c r="H21" s="46"/>
      <c r="I21" s="38">
        <f t="shared" si="17"/>
        <v>0.37406483790523692</v>
      </c>
      <c r="J21" s="242">
        <f t="shared" si="1"/>
        <v>0.87846153846153863</v>
      </c>
      <c r="K21" s="243"/>
      <c r="L21" s="38">
        <f t="shared" si="18"/>
        <v>1.1383537653239928</v>
      </c>
      <c r="M21" s="242">
        <f t="shared" si="10"/>
        <v>2.6733333333333333</v>
      </c>
      <c r="N21" s="243"/>
      <c r="O21" s="242">
        <f t="shared" si="2"/>
        <v>2.6733333333333333</v>
      </c>
      <c r="P21" s="243"/>
      <c r="Q21" s="45">
        <f t="shared" si="3"/>
        <v>0</v>
      </c>
      <c r="R21" s="38">
        <f t="shared" si="4"/>
        <v>2.6733333333333333</v>
      </c>
      <c r="S21" s="38">
        <f t="shared" si="11"/>
        <v>0.37406483790523692</v>
      </c>
      <c r="T21" s="38">
        <v>0</v>
      </c>
      <c r="U21" s="38">
        <v>0</v>
      </c>
      <c r="V21" s="242">
        <f t="shared" si="12"/>
        <v>4.3763207592248415E-2</v>
      </c>
      <c r="W21" s="243"/>
      <c r="X21" s="46"/>
      <c r="Y21" s="38">
        <f t="shared" si="13"/>
        <v>4.3763207592248415E-2</v>
      </c>
      <c r="Z21" s="38">
        <f t="shared" si="5"/>
        <v>0.41782804549748531</v>
      </c>
      <c r="AA21" s="38"/>
      <c r="AB21" s="100">
        <f t="shared" si="6"/>
        <v>2.2033290519293742</v>
      </c>
      <c r="AC21" s="100"/>
      <c r="AD21" s="39">
        <f t="shared" si="7"/>
        <v>2.2000000000000002</v>
      </c>
      <c r="AL21" s="78">
        <f t="shared" si="14"/>
        <v>70</v>
      </c>
      <c r="AM21" s="52">
        <f t="shared" si="15"/>
        <v>2.2033290519293742</v>
      </c>
    </row>
    <row r="22" spans="1:39" ht="13.5" customHeight="1" x14ac:dyDescent="0.25">
      <c r="A22" s="23">
        <f t="shared" si="8"/>
        <v>80</v>
      </c>
      <c r="B22" s="242">
        <f t="shared" si="9"/>
        <v>2.666666666666667</v>
      </c>
      <c r="C22" s="243"/>
      <c r="D22" s="242">
        <f t="shared" si="16"/>
        <v>0.61538461538461542</v>
      </c>
      <c r="E22" s="243"/>
      <c r="F22" s="242">
        <f t="shared" si="0"/>
        <v>3.0066666666666668</v>
      </c>
      <c r="G22" s="243"/>
      <c r="H22" s="46"/>
      <c r="I22" s="38">
        <f t="shared" si="17"/>
        <v>0.33259423503325941</v>
      </c>
      <c r="J22" s="242">
        <f t="shared" si="1"/>
        <v>0.9553846153846155</v>
      </c>
      <c r="K22" s="243"/>
      <c r="L22" s="38">
        <f t="shared" si="18"/>
        <v>1.0466988727858293</v>
      </c>
      <c r="M22" s="242">
        <f t="shared" si="10"/>
        <v>3.0066666666666668</v>
      </c>
      <c r="N22" s="243"/>
      <c r="O22" s="242">
        <f t="shared" si="2"/>
        <v>3.0066666666666668</v>
      </c>
      <c r="P22" s="243"/>
      <c r="Q22" s="45">
        <f t="shared" si="3"/>
        <v>0</v>
      </c>
      <c r="R22" s="38">
        <f t="shared" si="4"/>
        <v>3.0066666666666668</v>
      </c>
      <c r="S22" s="38">
        <f t="shared" si="11"/>
        <v>0.33259423503325941</v>
      </c>
      <c r="T22" s="38">
        <v>0</v>
      </c>
      <c r="U22" s="38">
        <v>0</v>
      </c>
      <c r="V22" s="242">
        <f t="shared" si="12"/>
        <v>3.954000812773719E-2</v>
      </c>
      <c r="W22" s="243"/>
      <c r="X22" s="46"/>
      <c r="Y22" s="38">
        <f t="shared" si="13"/>
        <v>3.954000812773719E-2</v>
      </c>
      <c r="Z22" s="38">
        <f t="shared" si="5"/>
        <v>0.37213424316099658</v>
      </c>
      <c r="AA22" s="38"/>
      <c r="AB22" s="100">
        <f t="shared" si="6"/>
        <v>2.4972023157712191</v>
      </c>
      <c r="AC22" s="100"/>
      <c r="AD22" s="39">
        <f t="shared" si="7"/>
        <v>2.5</v>
      </c>
      <c r="AF22" s="40"/>
      <c r="AL22" s="78">
        <f t="shared" si="14"/>
        <v>80</v>
      </c>
      <c r="AM22" s="52">
        <f t="shared" si="15"/>
        <v>2.4972023157712191</v>
      </c>
    </row>
    <row r="23" spans="1:39" ht="13.5" customHeight="1" x14ac:dyDescent="0.25">
      <c r="A23" s="23">
        <f t="shared" si="8"/>
        <v>90</v>
      </c>
      <c r="B23" s="242">
        <f t="shared" si="9"/>
        <v>3</v>
      </c>
      <c r="C23" s="243"/>
      <c r="D23" s="242">
        <f t="shared" si="16"/>
        <v>0.69230769230769229</v>
      </c>
      <c r="E23" s="243"/>
      <c r="F23" s="242">
        <f t="shared" si="0"/>
        <v>3.34</v>
      </c>
      <c r="G23" s="243"/>
      <c r="H23" s="46"/>
      <c r="I23" s="38">
        <f t="shared" si="17"/>
        <v>0.29940119760479045</v>
      </c>
      <c r="J23" s="242">
        <f t="shared" si="1"/>
        <v>1.0323076923076924</v>
      </c>
      <c r="K23" s="243"/>
      <c r="L23" s="38">
        <f t="shared" si="18"/>
        <v>0.9687034277198211</v>
      </c>
      <c r="M23" s="242">
        <f t="shared" si="10"/>
        <v>3.34</v>
      </c>
      <c r="N23" s="243"/>
      <c r="O23" s="242">
        <f t="shared" si="2"/>
        <v>3.34</v>
      </c>
      <c r="P23" s="243"/>
      <c r="Q23" s="45">
        <f t="shared" si="3"/>
        <v>0</v>
      </c>
      <c r="R23" s="38">
        <f t="shared" si="4"/>
        <v>3.34</v>
      </c>
      <c r="S23" s="38">
        <f t="shared" si="11"/>
        <v>0.29940119760479045</v>
      </c>
      <c r="T23" s="38">
        <v>0</v>
      </c>
      <c r="U23" s="38">
        <v>0</v>
      </c>
      <c r="V23" s="242">
        <f t="shared" si="12"/>
        <v>3.6046815918417088E-2</v>
      </c>
      <c r="W23" s="243"/>
      <c r="X23" s="46"/>
      <c r="Y23" s="38">
        <f t="shared" si="13"/>
        <v>3.6046815918417088E-2</v>
      </c>
      <c r="Z23" s="38">
        <f t="shared" si="5"/>
        <v>0.33544801352320752</v>
      </c>
      <c r="AA23" s="38"/>
      <c r="AB23" s="100">
        <f t="shared" si="6"/>
        <v>2.7910878576892104</v>
      </c>
      <c r="AC23" s="100"/>
      <c r="AD23" s="39">
        <f t="shared" si="7"/>
        <v>2.8</v>
      </c>
      <c r="AL23" s="78">
        <f t="shared" si="14"/>
        <v>90</v>
      </c>
      <c r="AM23" s="52">
        <f t="shared" si="15"/>
        <v>2.7910878576892104</v>
      </c>
    </row>
    <row r="24" spans="1:39" ht="13.5" customHeight="1" x14ac:dyDescent="0.25">
      <c r="A24" s="23">
        <f t="shared" si="8"/>
        <v>100</v>
      </c>
      <c r="B24" s="242">
        <f t="shared" si="9"/>
        <v>3.3333333333333335</v>
      </c>
      <c r="C24" s="243"/>
      <c r="D24" s="242">
        <f t="shared" si="16"/>
        <v>0.76923076923076927</v>
      </c>
      <c r="E24" s="243"/>
      <c r="F24" s="242">
        <f t="shared" si="0"/>
        <v>3.6733333333333333</v>
      </c>
      <c r="G24" s="243"/>
      <c r="H24" s="46"/>
      <c r="I24" s="38">
        <f t="shared" si="17"/>
        <v>0.27223230490018147</v>
      </c>
      <c r="J24" s="242">
        <f t="shared" si="1"/>
        <v>1.1092307692307692</v>
      </c>
      <c r="K24" s="243"/>
      <c r="L24" s="38">
        <f t="shared" si="18"/>
        <v>0.90152565880721225</v>
      </c>
      <c r="M24" s="242">
        <f t="shared" si="10"/>
        <v>3.6733333333333338</v>
      </c>
      <c r="N24" s="243"/>
      <c r="O24" s="242">
        <f t="shared" si="2"/>
        <v>3.6733333333333333</v>
      </c>
      <c r="P24" s="243"/>
      <c r="Q24" s="45">
        <f t="shared" si="3"/>
        <v>0</v>
      </c>
      <c r="R24" s="38">
        <f t="shared" si="4"/>
        <v>3.6733333333333333</v>
      </c>
      <c r="S24" s="38">
        <f t="shared" si="11"/>
        <v>0.27223230490018147</v>
      </c>
      <c r="T24" s="38">
        <v>0</v>
      </c>
      <c r="U24" s="38">
        <v>0</v>
      </c>
      <c r="V24" s="242">
        <f t="shared" si="12"/>
        <v>3.3112856978360874E-2</v>
      </c>
      <c r="W24" s="243"/>
      <c r="X24" s="46"/>
      <c r="Y24" s="38">
        <f t="shared" si="13"/>
        <v>3.3112856978360874E-2</v>
      </c>
      <c r="Z24" s="38">
        <f t="shared" si="5"/>
        <v>0.30534516187854233</v>
      </c>
      <c r="AA24" s="38"/>
      <c r="AB24" s="100">
        <f t="shared" si="6"/>
        <v>3.0849822982221404</v>
      </c>
      <c r="AC24" s="100"/>
      <c r="AD24" s="39">
        <f t="shared" si="7"/>
        <v>3.1</v>
      </c>
      <c r="AL24" s="78">
        <f t="shared" si="14"/>
        <v>100</v>
      </c>
      <c r="AM24" s="52">
        <f t="shared" si="15"/>
        <v>3.0849822982221404</v>
      </c>
    </row>
    <row r="25" spans="1:39" ht="13.5" customHeight="1" x14ac:dyDescent="0.25">
      <c r="A25" s="23">
        <f t="shared" ref="A25:A36" si="19">+A24+10</f>
        <v>110</v>
      </c>
      <c r="B25" s="242">
        <f t="shared" si="9"/>
        <v>3.666666666666667</v>
      </c>
      <c r="C25" s="243"/>
      <c r="D25" s="242">
        <f t="shared" si="16"/>
        <v>0.84615384615384615</v>
      </c>
      <c r="E25" s="243"/>
      <c r="F25" s="242">
        <f t="shared" si="0"/>
        <v>4.0066666666666668</v>
      </c>
      <c r="G25" s="243"/>
      <c r="H25" s="46"/>
      <c r="I25" s="38">
        <f t="shared" si="17"/>
        <v>0.24958402662229617</v>
      </c>
      <c r="J25" s="242">
        <f t="shared" si="1"/>
        <v>1.1861538461538461</v>
      </c>
      <c r="K25" s="243"/>
      <c r="L25" s="38">
        <f t="shared" si="18"/>
        <v>0.8430609597924773</v>
      </c>
      <c r="M25" s="242">
        <f t="shared" si="10"/>
        <v>4.0066666666666668</v>
      </c>
      <c r="N25" s="243"/>
      <c r="O25" s="242">
        <f t="shared" si="2"/>
        <v>4.0066666666666668</v>
      </c>
      <c r="P25" s="243"/>
      <c r="Q25" s="45">
        <f t="shared" si="3"/>
        <v>0</v>
      </c>
      <c r="R25" s="38">
        <f t="shared" si="4"/>
        <v>4.0066666666666668</v>
      </c>
      <c r="S25" s="38">
        <f t="shared" si="11"/>
        <v>0.24958402662229617</v>
      </c>
      <c r="T25" s="38">
        <v>0</v>
      </c>
      <c r="U25" s="38">
        <v>0</v>
      </c>
      <c r="V25" s="242">
        <f t="shared" si="12"/>
        <v>3.061565759960818E-2</v>
      </c>
      <c r="W25" s="243"/>
      <c r="X25" s="46"/>
      <c r="Y25" s="38">
        <f t="shared" si="13"/>
        <v>3.061565759960818E-2</v>
      </c>
      <c r="Z25" s="38">
        <f t="shared" si="5"/>
        <v>0.28019968422190433</v>
      </c>
      <c r="AA25" s="38"/>
      <c r="AB25" s="100">
        <f t="shared" si="6"/>
        <v>3.378883393915781</v>
      </c>
      <c r="AC25" s="100"/>
      <c r="AD25" s="39">
        <f t="shared" si="7"/>
        <v>3.4</v>
      </c>
      <c r="AL25" s="78">
        <f t="shared" si="14"/>
        <v>110</v>
      </c>
      <c r="AM25" s="52">
        <f t="shared" si="15"/>
        <v>3.378883393915781</v>
      </c>
    </row>
    <row r="26" spans="1:39" ht="13.5" customHeight="1" x14ac:dyDescent="0.25">
      <c r="A26" s="23">
        <f t="shared" si="19"/>
        <v>120</v>
      </c>
      <c r="B26" s="242">
        <f t="shared" si="9"/>
        <v>4</v>
      </c>
      <c r="C26" s="243"/>
      <c r="D26" s="242">
        <f t="shared" si="16"/>
        <v>0.92307692307692302</v>
      </c>
      <c r="E26" s="243"/>
      <c r="F26" s="242">
        <f t="shared" si="0"/>
        <v>4.34</v>
      </c>
      <c r="G26" s="243"/>
      <c r="H26" s="46"/>
      <c r="I26" s="38">
        <f t="shared" si="17"/>
        <v>0.2304147465437788</v>
      </c>
      <c r="J26" s="242">
        <f t="shared" si="1"/>
        <v>1.263076923076923</v>
      </c>
      <c r="K26" s="243"/>
      <c r="L26" s="38">
        <f t="shared" si="18"/>
        <v>0.79171741778319127</v>
      </c>
      <c r="M26" s="242">
        <f t="shared" si="10"/>
        <v>4.34</v>
      </c>
      <c r="N26" s="243"/>
      <c r="O26" s="242">
        <f t="shared" si="2"/>
        <v>4.34</v>
      </c>
      <c r="P26" s="243"/>
      <c r="Q26" s="45">
        <f t="shared" si="3"/>
        <v>0</v>
      </c>
      <c r="R26" s="38">
        <f t="shared" si="4"/>
        <v>4.34</v>
      </c>
      <c r="S26" s="38">
        <f t="shared" si="11"/>
        <v>0.2304147465437788</v>
      </c>
      <c r="T26" s="38">
        <v>0</v>
      </c>
      <c r="U26" s="38">
        <v>0</v>
      </c>
      <c r="V26" s="242">
        <f t="shared" si="12"/>
        <v>2.8465519877925741E-2</v>
      </c>
      <c r="W26" s="243"/>
      <c r="X26" s="46"/>
      <c r="Y26" s="38">
        <f t="shared" si="13"/>
        <v>2.8465519877925741E-2</v>
      </c>
      <c r="Z26" s="38">
        <f t="shared" si="5"/>
        <v>0.25888026642170453</v>
      </c>
      <c r="AA26" s="38"/>
      <c r="AB26" s="100">
        <f t="shared" si="6"/>
        <v>3.6727895969909277</v>
      </c>
      <c r="AC26" s="100"/>
      <c r="AD26" s="39">
        <f t="shared" si="7"/>
        <v>3.7</v>
      </c>
      <c r="AL26" s="78">
        <f t="shared" si="14"/>
        <v>120</v>
      </c>
      <c r="AM26" s="52">
        <f t="shared" si="15"/>
        <v>3.6727895969909277</v>
      </c>
    </row>
    <row r="27" spans="1:39" ht="13.5" customHeight="1" x14ac:dyDescent="0.25">
      <c r="A27" s="23">
        <f t="shared" si="19"/>
        <v>130</v>
      </c>
      <c r="B27" s="242">
        <f t="shared" si="9"/>
        <v>4.3333333333333339</v>
      </c>
      <c r="C27" s="243"/>
      <c r="D27" s="242">
        <f t="shared" si="16"/>
        <v>1</v>
      </c>
      <c r="E27" s="243"/>
      <c r="F27" s="242">
        <f t="shared" si="0"/>
        <v>4.6733333333333338</v>
      </c>
      <c r="G27" s="243"/>
      <c r="H27" s="46"/>
      <c r="I27" s="38">
        <f t="shared" si="17"/>
        <v>0.21398002853067044</v>
      </c>
      <c r="J27" s="242">
        <f t="shared" si="1"/>
        <v>1.3399999999999999</v>
      </c>
      <c r="K27" s="243"/>
      <c r="L27" s="38">
        <f t="shared" si="18"/>
        <v>0.74626865671641796</v>
      </c>
      <c r="M27" s="242">
        <f t="shared" si="10"/>
        <v>4.6733333333333338</v>
      </c>
      <c r="N27" s="243"/>
      <c r="O27" s="242">
        <f t="shared" si="2"/>
        <v>4.6733333333333338</v>
      </c>
      <c r="P27" s="243"/>
      <c r="Q27" s="45">
        <f t="shared" si="3"/>
        <v>0</v>
      </c>
      <c r="R27" s="38">
        <f t="shared" si="4"/>
        <v>4.6733333333333338</v>
      </c>
      <c r="S27" s="38">
        <f t="shared" si="11"/>
        <v>0.21398002853067044</v>
      </c>
      <c r="T27" s="38">
        <v>0</v>
      </c>
      <c r="U27" s="38">
        <v>0</v>
      </c>
      <c r="V27" s="242">
        <f t="shared" si="12"/>
        <v>2.6595439241950146E-2</v>
      </c>
      <c r="W27" s="243"/>
      <c r="X27" s="46"/>
      <c r="Y27" s="38">
        <f t="shared" si="13"/>
        <v>2.6595439241950146E-2</v>
      </c>
      <c r="Z27" s="38">
        <f t="shared" si="5"/>
        <v>0.24057546777262059</v>
      </c>
      <c r="AA27" s="38"/>
      <c r="AB27" s="100">
        <f t="shared" si="6"/>
        <v>3.9666998050904669</v>
      </c>
      <c r="AC27" s="100"/>
      <c r="AD27" s="39">
        <f t="shared" si="7"/>
        <v>4</v>
      </c>
      <c r="AL27" s="78">
        <f t="shared" si="14"/>
        <v>130</v>
      </c>
      <c r="AM27" s="52">
        <f t="shared" si="15"/>
        <v>3.9666998050904669</v>
      </c>
    </row>
    <row r="28" spans="1:39" ht="13.5" customHeight="1" x14ac:dyDescent="0.25">
      <c r="A28" s="23">
        <f t="shared" si="19"/>
        <v>140</v>
      </c>
      <c r="B28" s="242">
        <f t="shared" si="9"/>
        <v>4.666666666666667</v>
      </c>
      <c r="C28" s="243"/>
      <c r="D28" s="242">
        <f t="shared" si="16"/>
        <v>1.0769230769230771</v>
      </c>
      <c r="E28" s="243"/>
      <c r="F28" s="242">
        <f t="shared" si="0"/>
        <v>5.0066666666666668</v>
      </c>
      <c r="G28" s="243"/>
      <c r="H28" s="46"/>
      <c r="I28" s="38">
        <f t="shared" si="17"/>
        <v>0.19973368841544606</v>
      </c>
      <c r="J28" s="242">
        <f t="shared" si="1"/>
        <v>1.416923076923077</v>
      </c>
      <c r="K28" s="243"/>
      <c r="L28" s="38">
        <f t="shared" si="18"/>
        <v>0.7057546145494028</v>
      </c>
      <c r="M28" s="242">
        <f t="shared" si="10"/>
        <v>5.0066666666666668</v>
      </c>
      <c r="N28" s="243"/>
      <c r="O28" s="242">
        <f t="shared" si="2"/>
        <v>5.0066666666666668</v>
      </c>
      <c r="P28" s="243"/>
      <c r="Q28" s="45">
        <f t="shared" si="3"/>
        <v>0</v>
      </c>
      <c r="R28" s="38">
        <f t="shared" si="4"/>
        <v>5.0066666666666668</v>
      </c>
      <c r="S28" s="38">
        <f t="shared" si="11"/>
        <v>0.19973368841544606</v>
      </c>
      <c r="T28" s="38">
        <v>0</v>
      </c>
      <c r="U28" s="38">
        <v>0</v>
      </c>
      <c r="V28" s="242">
        <f t="shared" si="12"/>
        <v>2.4954450591545538E-2</v>
      </c>
      <c r="W28" s="243"/>
      <c r="X28" s="46"/>
      <c r="Y28" s="38">
        <f t="shared" si="13"/>
        <v>2.4954450591545538E-2</v>
      </c>
      <c r="Z28" s="38">
        <f t="shared" si="5"/>
        <v>0.22468813900699158</v>
      </c>
      <c r="AA28" s="38"/>
      <c r="AB28" s="100">
        <f t="shared" si="6"/>
        <v>4.2606132118032418</v>
      </c>
      <c r="AC28" s="100"/>
      <c r="AD28" s="39">
        <f t="shared" si="7"/>
        <v>4.3</v>
      </c>
      <c r="AL28" s="78">
        <f t="shared" si="14"/>
        <v>140</v>
      </c>
      <c r="AM28" s="52">
        <f t="shared" si="15"/>
        <v>4.2606132118032418</v>
      </c>
    </row>
    <row r="29" spans="1:39" ht="13.5" customHeight="1" x14ac:dyDescent="0.25">
      <c r="A29" s="23">
        <f t="shared" si="19"/>
        <v>150</v>
      </c>
      <c r="B29" s="242">
        <f t="shared" si="9"/>
        <v>5</v>
      </c>
      <c r="C29" s="243"/>
      <c r="D29" s="242">
        <f t="shared" si="16"/>
        <v>1.1538461538461537</v>
      </c>
      <c r="E29" s="243"/>
      <c r="F29" s="242">
        <f t="shared" si="0"/>
        <v>5.34</v>
      </c>
      <c r="G29" s="243"/>
      <c r="H29" s="46"/>
      <c r="I29" s="38">
        <f t="shared" si="17"/>
        <v>0.18726591760299627</v>
      </c>
      <c r="J29" s="242">
        <f t="shared" si="1"/>
        <v>1.4938461538461536</v>
      </c>
      <c r="K29" s="243"/>
      <c r="L29" s="38">
        <f t="shared" si="18"/>
        <v>0.66941297631307939</v>
      </c>
      <c r="M29" s="242">
        <f t="shared" si="10"/>
        <v>5.34</v>
      </c>
      <c r="N29" s="243"/>
      <c r="O29" s="242">
        <f t="shared" si="2"/>
        <v>5.34</v>
      </c>
      <c r="P29" s="243"/>
      <c r="Q29" s="45">
        <f t="shared" si="3"/>
        <v>0</v>
      </c>
      <c r="R29" s="38">
        <f t="shared" si="4"/>
        <v>5.34</v>
      </c>
      <c r="S29" s="38">
        <f t="shared" si="11"/>
        <v>0.18726591760299627</v>
      </c>
      <c r="T29" s="38">
        <v>0</v>
      </c>
      <c r="U29" s="38">
        <v>0</v>
      </c>
      <c r="V29" s="242">
        <f t="shared" si="12"/>
        <v>2.3503150302494873E-2</v>
      </c>
      <c r="W29" s="243"/>
      <c r="X29" s="46"/>
      <c r="Y29" s="38">
        <f t="shared" si="13"/>
        <v>2.3503150302494873E-2</v>
      </c>
      <c r="Z29" s="38">
        <f t="shared" si="5"/>
        <v>0.21076906790549113</v>
      </c>
      <c r="AA29" s="38"/>
      <c r="AB29" s="100">
        <f t="shared" si="6"/>
        <v>4.5545292135959921</v>
      </c>
      <c r="AC29" s="100"/>
      <c r="AD29" s="39">
        <f t="shared" si="7"/>
        <v>4.5999999999999996</v>
      </c>
      <c r="AL29" s="78">
        <f t="shared" si="14"/>
        <v>150</v>
      </c>
      <c r="AM29" s="52">
        <f t="shared" si="15"/>
        <v>4.5545292135959921</v>
      </c>
    </row>
    <row r="30" spans="1:39" ht="13.5" customHeight="1" x14ac:dyDescent="0.25">
      <c r="A30" s="23">
        <f>+A29+10</f>
        <v>160</v>
      </c>
      <c r="B30" s="242">
        <f t="shared" si="9"/>
        <v>5.3333333333333339</v>
      </c>
      <c r="C30" s="243"/>
      <c r="D30" s="242">
        <f t="shared" si="16"/>
        <v>1.2307692307692308</v>
      </c>
      <c r="E30" s="243"/>
      <c r="F30" s="242">
        <f t="shared" si="0"/>
        <v>5.6733333333333338</v>
      </c>
      <c r="G30" s="243"/>
      <c r="H30" s="46"/>
      <c r="I30" s="38">
        <f t="shared" si="17"/>
        <v>0.1762632197414806</v>
      </c>
      <c r="J30" s="242">
        <f t="shared" si="1"/>
        <v>1.5707692307692307</v>
      </c>
      <c r="K30" s="243"/>
      <c r="L30" s="38">
        <f t="shared" si="18"/>
        <v>0.63663075416258574</v>
      </c>
      <c r="M30" s="242">
        <f t="shared" si="10"/>
        <v>5.6733333333333338</v>
      </c>
      <c r="N30" s="243"/>
      <c r="O30" s="242">
        <f t="shared" si="2"/>
        <v>5.6733333333333338</v>
      </c>
      <c r="P30" s="243"/>
      <c r="Q30" s="45">
        <f t="shared" si="3"/>
        <v>0</v>
      </c>
      <c r="R30" s="38">
        <f t="shared" si="4"/>
        <v>5.6733333333333338</v>
      </c>
      <c r="S30" s="38">
        <f t="shared" si="11"/>
        <v>0.1762632197414806</v>
      </c>
      <c r="T30" s="38">
        <v>0</v>
      </c>
      <c r="U30" s="38">
        <v>0</v>
      </c>
      <c r="V30" s="242">
        <f t="shared" si="12"/>
        <v>2.2210621618003485E-2</v>
      </c>
      <c r="W30" s="243"/>
      <c r="X30" s="46"/>
      <c r="Y30" s="38">
        <f t="shared" si="13"/>
        <v>2.2210621618003485E-2</v>
      </c>
      <c r="Z30" s="38">
        <f t="shared" si="5"/>
        <v>0.19847384135948409</v>
      </c>
      <c r="AA30" s="38"/>
      <c r="AB30" s="100">
        <f t="shared" si="6"/>
        <v>4.8484473497883203</v>
      </c>
      <c r="AC30" s="100"/>
      <c r="AD30" s="39">
        <f t="shared" si="7"/>
        <v>4.8</v>
      </c>
      <c r="AL30" s="78">
        <f t="shared" si="14"/>
        <v>160</v>
      </c>
      <c r="AM30" s="52">
        <f t="shared" si="15"/>
        <v>4.8484473497883203</v>
      </c>
    </row>
    <row r="31" spans="1:39" ht="13.5" customHeight="1" x14ac:dyDescent="0.25">
      <c r="A31" s="23">
        <f t="shared" si="19"/>
        <v>170</v>
      </c>
      <c r="B31" s="242">
        <f t="shared" si="9"/>
        <v>5.666666666666667</v>
      </c>
      <c r="C31" s="243"/>
      <c r="D31" s="242">
        <f t="shared" si="16"/>
        <v>1.3076923076923077</v>
      </c>
      <c r="E31" s="243"/>
      <c r="F31" s="242">
        <f t="shared" si="0"/>
        <v>6.0066666666666668</v>
      </c>
      <c r="G31" s="243"/>
      <c r="H31" s="46"/>
      <c r="I31" s="38">
        <f t="shared" si="17"/>
        <v>0.16648168701442842</v>
      </c>
      <c r="J31" s="242">
        <f t="shared" si="1"/>
        <v>1.6476923076923076</v>
      </c>
      <c r="K31" s="243"/>
      <c r="L31" s="38">
        <f t="shared" si="18"/>
        <v>0.60690943043884227</v>
      </c>
      <c r="M31" s="242">
        <f t="shared" si="10"/>
        <v>6.0066666666666668</v>
      </c>
      <c r="N31" s="243"/>
      <c r="O31" s="242">
        <f t="shared" si="2"/>
        <v>6.0066666666666668</v>
      </c>
      <c r="P31" s="243"/>
      <c r="Q31" s="45">
        <f t="shared" si="3"/>
        <v>0</v>
      </c>
      <c r="R31" s="38">
        <f t="shared" si="4"/>
        <v>6.0066666666666668</v>
      </c>
      <c r="S31" s="38">
        <f t="shared" si="11"/>
        <v>0.16648168701442842</v>
      </c>
      <c r="T31" s="38">
        <v>0</v>
      </c>
      <c r="U31" s="38">
        <v>0</v>
      </c>
      <c r="V31" s="242">
        <f t="shared" si="12"/>
        <v>2.1052282561278533E-2</v>
      </c>
      <c r="W31" s="243"/>
      <c r="X31" s="46"/>
      <c r="Y31" s="38">
        <f t="shared" si="13"/>
        <v>2.1052282561278533E-2</v>
      </c>
      <c r="Z31" s="38">
        <f t="shared" si="5"/>
        <v>0.18753396957570695</v>
      </c>
      <c r="AA31" s="38"/>
      <c r="AB31" s="100">
        <f t="shared" si="6"/>
        <v>5.1423672626483965</v>
      </c>
      <c r="AC31" s="100"/>
      <c r="AD31" s="39">
        <f t="shared" si="7"/>
        <v>5.0999999999999996</v>
      </c>
      <c r="AL31" s="78">
        <f t="shared" si="14"/>
        <v>170</v>
      </c>
      <c r="AM31" s="52">
        <f t="shared" si="15"/>
        <v>5.1423672626483965</v>
      </c>
    </row>
    <row r="32" spans="1:39" ht="13.5" customHeight="1" x14ac:dyDescent="0.25">
      <c r="A32" s="23">
        <f t="shared" si="19"/>
        <v>180</v>
      </c>
      <c r="B32" s="242">
        <f t="shared" si="9"/>
        <v>6</v>
      </c>
      <c r="C32" s="243"/>
      <c r="D32" s="242">
        <f t="shared" si="16"/>
        <v>1.3846153846153846</v>
      </c>
      <c r="E32" s="243"/>
      <c r="F32" s="242">
        <f t="shared" si="0"/>
        <v>6.34</v>
      </c>
      <c r="G32" s="243"/>
      <c r="H32" s="46"/>
      <c r="I32" s="38">
        <f t="shared" si="17"/>
        <v>0.15772870662460567</v>
      </c>
      <c r="J32" s="242">
        <f t="shared" si="1"/>
        <v>1.7246153846153844</v>
      </c>
      <c r="K32" s="243"/>
      <c r="L32" s="38">
        <f t="shared" si="18"/>
        <v>0.57983942908117758</v>
      </c>
      <c r="M32" s="242">
        <f t="shared" si="10"/>
        <v>6.3400000000000007</v>
      </c>
      <c r="N32" s="243"/>
      <c r="O32" s="242">
        <f t="shared" si="2"/>
        <v>6.34</v>
      </c>
      <c r="P32" s="243"/>
      <c r="Q32" s="45">
        <f t="shared" si="3"/>
        <v>0</v>
      </c>
      <c r="R32" s="38">
        <f t="shared" si="4"/>
        <v>6.34</v>
      </c>
      <c r="S32" s="38">
        <f t="shared" si="11"/>
        <v>0.15772870662460567</v>
      </c>
      <c r="T32" s="38">
        <v>0</v>
      </c>
      <c r="U32" s="38">
        <v>0</v>
      </c>
      <c r="V32" s="242">
        <f t="shared" si="12"/>
        <v>2.0008352141005166E-2</v>
      </c>
      <c r="W32" s="243"/>
      <c r="X32" s="46"/>
      <c r="Y32" s="38">
        <f t="shared" si="13"/>
        <v>2.0008352141005166E-2</v>
      </c>
      <c r="Z32" s="38">
        <f t="shared" si="5"/>
        <v>0.17773705876561083</v>
      </c>
      <c r="AA32" s="38"/>
      <c r="AB32" s="100">
        <f t="shared" si="6"/>
        <v>5.4362886701570847</v>
      </c>
      <c r="AC32" s="100"/>
      <c r="AD32" s="39">
        <f t="shared" si="7"/>
        <v>5.4</v>
      </c>
      <c r="AL32" s="78">
        <f t="shared" si="14"/>
        <v>180</v>
      </c>
      <c r="AM32" s="52">
        <f t="shared" si="15"/>
        <v>5.4362886701570847</v>
      </c>
    </row>
    <row r="33" spans="1:39" ht="13.5" customHeight="1" x14ac:dyDescent="0.25">
      <c r="A33" s="23">
        <f t="shared" si="19"/>
        <v>190</v>
      </c>
      <c r="B33" s="242">
        <f t="shared" si="9"/>
        <v>6.3333333333333339</v>
      </c>
      <c r="C33" s="243"/>
      <c r="D33" s="242">
        <f t="shared" si="16"/>
        <v>1.4615384615384615</v>
      </c>
      <c r="E33" s="243"/>
      <c r="F33" s="242">
        <f t="shared" si="0"/>
        <v>6.6733333333333338</v>
      </c>
      <c r="G33" s="243"/>
      <c r="H33" s="46"/>
      <c r="I33" s="38">
        <f t="shared" si="17"/>
        <v>0.14985014985014983</v>
      </c>
      <c r="J33" s="242">
        <f t="shared" si="1"/>
        <v>1.8015384615384613</v>
      </c>
      <c r="K33" s="243"/>
      <c r="L33" s="38">
        <f t="shared" si="18"/>
        <v>0.5550811272416738</v>
      </c>
      <c r="M33" s="242">
        <f t="shared" si="10"/>
        <v>6.6733333333333347</v>
      </c>
      <c r="N33" s="243"/>
      <c r="O33" s="242">
        <f t="shared" si="2"/>
        <v>6.6733333333333338</v>
      </c>
      <c r="P33" s="243"/>
      <c r="Q33" s="45">
        <f t="shared" si="3"/>
        <v>0</v>
      </c>
      <c r="R33" s="38">
        <f t="shared" si="4"/>
        <v>6.6733333333333338</v>
      </c>
      <c r="S33" s="38">
        <f t="shared" si="11"/>
        <v>0.14985014985014983</v>
      </c>
      <c r="T33" s="38">
        <v>0</v>
      </c>
      <c r="U33" s="38">
        <v>0</v>
      </c>
      <c r="V33" s="242">
        <f t="shared" si="12"/>
        <v>1.9062738793500154E-2</v>
      </c>
      <c r="W33" s="243"/>
      <c r="X33" s="46"/>
      <c r="Y33" s="38">
        <f t="shared" si="13"/>
        <v>1.9062738793500154E-2</v>
      </c>
      <c r="Z33" s="38">
        <f t="shared" si="5"/>
        <v>0.16891288864364998</v>
      </c>
      <c r="AA33" s="38"/>
      <c r="AB33" s="100">
        <f t="shared" si="6"/>
        <v>5.7302113469841105</v>
      </c>
      <c r="AC33" s="100"/>
      <c r="AD33" s="39">
        <f t="shared" si="7"/>
        <v>5.7</v>
      </c>
      <c r="AL33" s="78">
        <f t="shared" si="14"/>
        <v>190</v>
      </c>
      <c r="AM33" s="52">
        <f t="shared" si="15"/>
        <v>5.7302113469841105</v>
      </c>
    </row>
    <row r="34" spans="1:39" ht="13.5" customHeight="1" x14ac:dyDescent="0.25">
      <c r="A34" s="23">
        <f t="shared" si="19"/>
        <v>200</v>
      </c>
      <c r="B34" s="242">
        <f t="shared" si="9"/>
        <v>6.666666666666667</v>
      </c>
      <c r="C34" s="243"/>
      <c r="D34" s="242">
        <f t="shared" si="16"/>
        <v>1.5384615384615385</v>
      </c>
      <c r="E34" s="243"/>
      <c r="F34" s="242">
        <f t="shared" si="0"/>
        <v>7.0066666666666668</v>
      </c>
      <c r="G34" s="243"/>
      <c r="H34" s="46"/>
      <c r="I34" s="38">
        <f t="shared" si="17"/>
        <v>0.14272121788772596</v>
      </c>
      <c r="J34" s="242">
        <f t="shared" si="1"/>
        <v>1.8784615384615384</v>
      </c>
      <c r="K34" s="243"/>
      <c r="L34" s="38">
        <f t="shared" si="18"/>
        <v>0.53235053235053231</v>
      </c>
      <c r="M34" s="242">
        <f t="shared" si="10"/>
        <v>7.0066666666666677</v>
      </c>
      <c r="N34" s="243"/>
      <c r="O34" s="242">
        <f t="shared" si="2"/>
        <v>7.0066666666666668</v>
      </c>
      <c r="P34" s="243"/>
      <c r="Q34" s="45">
        <f t="shared" si="3"/>
        <v>0</v>
      </c>
      <c r="R34" s="38">
        <f t="shared" si="4"/>
        <v>7.0066666666666668</v>
      </c>
      <c r="S34" s="38">
        <f t="shared" si="11"/>
        <v>0.14272121788772596</v>
      </c>
      <c r="T34" s="38">
        <v>0</v>
      </c>
      <c r="U34" s="38">
        <v>0</v>
      </c>
      <c r="V34" s="242">
        <f t="shared" si="12"/>
        <v>1.8202222325504572E-2</v>
      </c>
      <c r="W34" s="243"/>
      <c r="X34" s="46"/>
      <c r="Y34" s="38">
        <f t="shared" si="13"/>
        <v>1.8202222325504572E-2</v>
      </c>
      <c r="Z34" s="38">
        <f t="shared" si="5"/>
        <v>0.16092344021323052</v>
      </c>
      <c r="AA34" s="38"/>
      <c r="AB34" s="100">
        <f t="shared" si="6"/>
        <v>6.0241351109257719</v>
      </c>
      <c r="AC34" s="100"/>
      <c r="AD34" s="39">
        <f t="shared" si="7"/>
        <v>6</v>
      </c>
      <c r="AL34" s="78">
        <f t="shared" si="14"/>
        <v>200</v>
      </c>
      <c r="AM34" s="52">
        <f t="shared" si="15"/>
        <v>6.0241351109257719</v>
      </c>
    </row>
    <row r="35" spans="1:39" ht="13.5" customHeight="1" x14ac:dyDescent="0.25">
      <c r="A35" s="23">
        <f t="shared" si="19"/>
        <v>210</v>
      </c>
      <c r="B35" s="242">
        <f t="shared" si="9"/>
        <v>7</v>
      </c>
      <c r="C35" s="243"/>
      <c r="D35" s="242">
        <f t="shared" si="16"/>
        <v>1.6153846153846152</v>
      </c>
      <c r="E35" s="243"/>
      <c r="F35" s="242">
        <f t="shared" si="0"/>
        <v>7.34</v>
      </c>
      <c r="G35" s="243"/>
      <c r="H35" s="46"/>
      <c r="I35" s="38">
        <f t="shared" si="17"/>
        <v>0.13623978201634879</v>
      </c>
      <c r="J35" s="242">
        <f t="shared" si="1"/>
        <v>1.9553846153846151</v>
      </c>
      <c r="K35" s="243"/>
      <c r="L35" s="38">
        <f t="shared" si="18"/>
        <v>0.51140833988985057</v>
      </c>
      <c r="M35" s="242">
        <f t="shared" si="10"/>
        <v>7.339999999999999</v>
      </c>
      <c r="N35" s="243"/>
      <c r="O35" s="242">
        <f t="shared" si="2"/>
        <v>7.34</v>
      </c>
      <c r="P35" s="243"/>
      <c r="Q35" s="45">
        <f t="shared" si="3"/>
        <v>0</v>
      </c>
      <c r="R35" s="38">
        <f t="shared" si="4"/>
        <v>7.34</v>
      </c>
      <c r="S35" s="38">
        <f t="shared" si="11"/>
        <v>0.13623978201634879</v>
      </c>
      <c r="T35" s="38">
        <v>0</v>
      </c>
      <c r="U35" s="38">
        <v>0</v>
      </c>
      <c r="V35" s="242">
        <f t="shared" si="12"/>
        <v>1.741584327361833E-2</v>
      </c>
      <c r="W35" s="243"/>
      <c r="X35" s="46"/>
      <c r="Y35" s="38">
        <f t="shared" si="13"/>
        <v>1.741584327361833E-2</v>
      </c>
      <c r="Z35" s="38">
        <f t="shared" si="5"/>
        <v>0.15365562528996712</v>
      </c>
      <c r="AA35" s="38"/>
      <c r="AB35" s="100">
        <f t="shared" si="6"/>
        <v>6.3180598130584329</v>
      </c>
      <c r="AC35" s="100"/>
      <c r="AD35" s="39">
        <f t="shared" si="7"/>
        <v>6.3</v>
      </c>
      <c r="AL35" s="78">
        <f t="shared" si="14"/>
        <v>210</v>
      </c>
      <c r="AM35" s="52">
        <f t="shared" si="15"/>
        <v>6.3180598130584329</v>
      </c>
    </row>
    <row r="36" spans="1:39" ht="13.5" customHeight="1" x14ac:dyDescent="0.25">
      <c r="A36" s="41">
        <f t="shared" si="19"/>
        <v>220</v>
      </c>
      <c r="B36" s="244">
        <f t="shared" si="9"/>
        <v>7.3333333333333339</v>
      </c>
      <c r="C36" s="245"/>
      <c r="D36" s="244">
        <f t="shared" si="16"/>
        <v>1.6923076923076923</v>
      </c>
      <c r="E36" s="245"/>
      <c r="F36" s="242">
        <f t="shared" si="0"/>
        <v>7.6733333333333338</v>
      </c>
      <c r="G36" s="243"/>
      <c r="H36" s="47"/>
      <c r="I36" s="48">
        <f t="shared" si="17"/>
        <v>0.13032145960034752</v>
      </c>
      <c r="J36" s="242">
        <f t="shared" si="1"/>
        <v>2.0323076923076924</v>
      </c>
      <c r="K36" s="243"/>
      <c r="L36" s="48">
        <f t="shared" si="18"/>
        <v>0.49205147615442846</v>
      </c>
      <c r="M36" s="244">
        <f t="shared" si="10"/>
        <v>7.6733333333333338</v>
      </c>
      <c r="N36" s="245"/>
      <c r="O36" s="242">
        <f t="shared" si="2"/>
        <v>7.6733333333333338</v>
      </c>
      <c r="P36" s="243"/>
      <c r="Q36" s="45">
        <f t="shared" si="3"/>
        <v>0</v>
      </c>
      <c r="R36" s="38">
        <f t="shared" si="4"/>
        <v>7.6733333333333338</v>
      </c>
      <c r="S36" s="48">
        <f t="shared" si="11"/>
        <v>0.13032145960034752</v>
      </c>
      <c r="T36" s="48">
        <v>0</v>
      </c>
      <c r="U36" s="48">
        <v>0</v>
      </c>
      <c r="V36" s="244">
        <f t="shared" si="12"/>
        <v>1.6694441113248061E-2</v>
      </c>
      <c r="W36" s="245"/>
      <c r="X36" s="47"/>
      <c r="Y36" s="48">
        <f t="shared" si="13"/>
        <v>1.6694441113248061E-2</v>
      </c>
      <c r="Z36" s="48">
        <f t="shared" si="5"/>
        <v>0.14701590071359558</v>
      </c>
      <c r="AA36" s="38"/>
      <c r="AB36" s="100">
        <f t="shared" si="6"/>
        <v>6.6119853304719651</v>
      </c>
      <c r="AC36" s="100"/>
      <c r="AD36" s="39">
        <f t="shared" si="7"/>
        <v>6.6</v>
      </c>
      <c r="AL36" s="78">
        <f t="shared" si="14"/>
        <v>220</v>
      </c>
      <c r="AM36" s="52">
        <f t="shared" si="15"/>
        <v>6.6119853304719651</v>
      </c>
    </row>
    <row r="37" spans="1:39" x14ac:dyDescent="0.25">
      <c r="A37" s="246" t="s">
        <v>71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9"/>
    </row>
    <row r="38" spans="1:39" x14ac:dyDescent="0.25">
      <c r="A38" s="247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1"/>
    </row>
    <row r="39" spans="1:39" x14ac:dyDescent="0.25">
      <c r="A39" s="247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1"/>
    </row>
  </sheetData>
  <sheetProtection selectLockedCells="1"/>
  <mergeCells count="205">
    <mergeCell ref="V36:W36"/>
    <mergeCell ref="A37:A39"/>
    <mergeCell ref="B37:AD39"/>
    <mergeCell ref="B36:C36"/>
    <mergeCell ref="D36:E36"/>
    <mergeCell ref="F36:G36"/>
    <mergeCell ref="J36:K36"/>
    <mergeCell ref="M36:N36"/>
    <mergeCell ref="O36:P36"/>
    <mergeCell ref="V34:W34"/>
    <mergeCell ref="B35:C35"/>
    <mergeCell ref="D35:E35"/>
    <mergeCell ref="F35:G35"/>
    <mergeCell ref="J35:K35"/>
    <mergeCell ref="M35:N35"/>
    <mergeCell ref="O35:P35"/>
    <mergeCell ref="V35:W35"/>
    <mergeCell ref="B34:C34"/>
    <mergeCell ref="D34:E34"/>
    <mergeCell ref="F34:G34"/>
    <mergeCell ref="J34:K34"/>
    <mergeCell ref="M34:N34"/>
    <mergeCell ref="O34:P34"/>
    <mergeCell ref="V32:W32"/>
    <mergeCell ref="B33:C33"/>
    <mergeCell ref="D33:E33"/>
    <mergeCell ref="F33:G33"/>
    <mergeCell ref="J33:K33"/>
    <mergeCell ref="M33:N33"/>
    <mergeCell ref="O33:P33"/>
    <mergeCell ref="V33:W33"/>
    <mergeCell ref="B32:C32"/>
    <mergeCell ref="D32:E32"/>
    <mergeCell ref="F32:G32"/>
    <mergeCell ref="J32:K32"/>
    <mergeCell ref="M32:N32"/>
    <mergeCell ref="O32:P32"/>
    <mergeCell ref="V30:W30"/>
    <mergeCell ref="B31:C31"/>
    <mergeCell ref="D31:E31"/>
    <mergeCell ref="F31:G31"/>
    <mergeCell ref="J31:K31"/>
    <mergeCell ref="M31:N31"/>
    <mergeCell ref="O31:P31"/>
    <mergeCell ref="V31:W31"/>
    <mergeCell ref="B30:C30"/>
    <mergeCell ref="D30:E30"/>
    <mergeCell ref="F30:G30"/>
    <mergeCell ref="J30:K30"/>
    <mergeCell ref="M30:N30"/>
    <mergeCell ref="O30:P30"/>
    <mergeCell ref="V28:W28"/>
    <mergeCell ref="B29:C29"/>
    <mergeCell ref="D29:E29"/>
    <mergeCell ref="F29:G29"/>
    <mergeCell ref="J29:K29"/>
    <mergeCell ref="M29:N29"/>
    <mergeCell ref="O29:P29"/>
    <mergeCell ref="V29:W29"/>
    <mergeCell ref="B28:C28"/>
    <mergeCell ref="D28:E28"/>
    <mergeCell ref="F28:G28"/>
    <mergeCell ref="J28:K28"/>
    <mergeCell ref="M28:N28"/>
    <mergeCell ref="O28:P28"/>
    <mergeCell ref="V26:W26"/>
    <mergeCell ref="B27:C27"/>
    <mergeCell ref="D27:E27"/>
    <mergeCell ref="F27:G27"/>
    <mergeCell ref="J27:K27"/>
    <mergeCell ref="M27:N27"/>
    <mergeCell ref="O27:P27"/>
    <mergeCell ref="V27:W27"/>
    <mergeCell ref="B26:C26"/>
    <mergeCell ref="D26:E26"/>
    <mergeCell ref="F26:G26"/>
    <mergeCell ref="J26:K26"/>
    <mergeCell ref="M26:N26"/>
    <mergeCell ref="O26:P26"/>
    <mergeCell ref="V24:W24"/>
    <mergeCell ref="B25:C25"/>
    <mergeCell ref="D25:E25"/>
    <mergeCell ref="F25:G25"/>
    <mergeCell ref="J25:K25"/>
    <mergeCell ref="M25:N25"/>
    <mergeCell ref="O25:P25"/>
    <mergeCell ref="V25:W25"/>
    <mergeCell ref="B24:C24"/>
    <mergeCell ref="D24:E24"/>
    <mergeCell ref="F24:G24"/>
    <mergeCell ref="J24:K24"/>
    <mergeCell ref="M24:N24"/>
    <mergeCell ref="O24:P24"/>
    <mergeCell ref="V22:W22"/>
    <mergeCell ref="B23:C23"/>
    <mergeCell ref="D23:E23"/>
    <mergeCell ref="F23:G23"/>
    <mergeCell ref="J23:K23"/>
    <mergeCell ref="M23:N23"/>
    <mergeCell ref="O23:P23"/>
    <mergeCell ref="V23:W23"/>
    <mergeCell ref="B22:C22"/>
    <mergeCell ref="D22:E22"/>
    <mergeCell ref="F22:G22"/>
    <mergeCell ref="J22:K22"/>
    <mergeCell ref="M22:N22"/>
    <mergeCell ref="O22:P22"/>
    <mergeCell ref="V20:W20"/>
    <mergeCell ref="B21:C21"/>
    <mergeCell ref="D21:E21"/>
    <mergeCell ref="F21:G21"/>
    <mergeCell ref="J21:K21"/>
    <mergeCell ref="M21:N21"/>
    <mergeCell ref="O21:P21"/>
    <mergeCell ref="V21:W21"/>
    <mergeCell ref="B20:C20"/>
    <mergeCell ref="D20:E20"/>
    <mergeCell ref="F20:G20"/>
    <mergeCell ref="J20:K20"/>
    <mergeCell ref="M20:N20"/>
    <mergeCell ref="O20:P20"/>
    <mergeCell ref="V18:W18"/>
    <mergeCell ref="B19:C19"/>
    <mergeCell ref="D19:E19"/>
    <mergeCell ref="F19:G19"/>
    <mergeCell ref="J19:K19"/>
    <mergeCell ref="M19:N19"/>
    <mergeCell ref="O19:P19"/>
    <mergeCell ref="V19:W19"/>
    <mergeCell ref="B18:C18"/>
    <mergeCell ref="D18:E18"/>
    <mergeCell ref="F18:G18"/>
    <mergeCell ref="J18:K18"/>
    <mergeCell ref="M18:N18"/>
    <mergeCell ref="O18:P18"/>
    <mergeCell ref="Z14:Z17"/>
    <mergeCell ref="AD14:AD17"/>
    <mergeCell ref="B15:C17"/>
    <mergeCell ref="D15:E17"/>
    <mergeCell ref="M16:N17"/>
    <mergeCell ref="Q16:Q17"/>
    <mergeCell ref="R16:R17"/>
    <mergeCell ref="S16:S17"/>
    <mergeCell ref="G17:H17"/>
    <mergeCell ref="Z9:Z13"/>
    <mergeCell ref="AA9:AC13"/>
    <mergeCell ref="AD9:AD13"/>
    <mergeCell ref="M13:M15"/>
    <mergeCell ref="N13:N15"/>
    <mergeCell ref="I14:I17"/>
    <mergeCell ref="J14:K16"/>
    <mergeCell ref="L14:L17"/>
    <mergeCell ref="O14:P14"/>
    <mergeCell ref="T14:T17"/>
    <mergeCell ref="S9:S15"/>
    <mergeCell ref="T9:T13"/>
    <mergeCell ref="U9:U13"/>
    <mergeCell ref="V9:W14"/>
    <mergeCell ref="X9:X14"/>
    <mergeCell ref="Y9:Y13"/>
    <mergeCell ref="U14:U17"/>
    <mergeCell ref="Y14:Y17"/>
    <mergeCell ref="L9:L13"/>
    <mergeCell ref="M9:M12"/>
    <mergeCell ref="N9:N12"/>
    <mergeCell ref="O9:P13"/>
    <mergeCell ref="Q9:Q15"/>
    <mergeCell ref="R9:R15"/>
    <mergeCell ref="V7:X7"/>
    <mergeCell ref="AA7:AC7"/>
    <mergeCell ref="B8:C8"/>
    <mergeCell ref="F8:H8"/>
    <mergeCell ref="J8:K8"/>
    <mergeCell ref="M8:N8"/>
    <mergeCell ref="O8:P8"/>
    <mergeCell ref="V8:X8"/>
    <mergeCell ref="AA8:AC8"/>
    <mergeCell ref="B7:C7"/>
    <mergeCell ref="D7:E7"/>
    <mergeCell ref="F7:H7"/>
    <mergeCell ref="J7:K7"/>
    <mergeCell ref="M7:N7"/>
    <mergeCell ref="A9:A17"/>
    <mergeCell ref="B9:C13"/>
    <mergeCell ref="D9:E13"/>
    <mergeCell ref="F9:H13"/>
    <mergeCell ref="I9:I13"/>
    <mergeCell ref="J9:K13"/>
    <mergeCell ref="A2:G2"/>
    <mergeCell ref="I2:P3"/>
    <mergeCell ref="Q2:R3"/>
    <mergeCell ref="O7:P7"/>
    <mergeCell ref="A1:E1"/>
    <mergeCell ref="S2:AD3"/>
    <mergeCell ref="F3:G3"/>
    <mergeCell ref="A4:G4"/>
    <mergeCell ref="H4:K4"/>
    <mergeCell ref="M4:R4"/>
    <mergeCell ref="S4:AD6"/>
    <mergeCell ref="A5:G5"/>
    <mergeCell ref="H5:K5"/>
    <mergeCell ref="M5:R5"/>
    <mergeCell ref="A6:I6"/>
    <mergeCell ref="J6:K6"/>
    <mergeCell ref="M6:R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autoLine="0" autoPict="0">
                <anchor moveWithCells="1" sizeWithCells="1">
                  <from>
                    <xdr:col>3</xdr:col>
                    <xdr:colOff>9525</xdr:colOff>
                    <xdr:row>1</xdr:row>
                    <xdr:rowOff>0</xdr:rowOff>
                  </from>
                  <to>
                    <xdr:col>7</xdr:col>
                    <xdr:colOff>552450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Drop Down 2">
              <controlPr defaultSize="0" autoLine="0" autoPict="0">
                <anchor moveWithCells="1" sizeWithCells="1">
                  <from>
                    <xdr:col>3</xdr:col>
                    <xdr:colOff>9525</xdr:colOff>
                    <xdr:row>3</xdr:row>
                    <xdr:rowOff>0</xdr:rowOff>
                  </from>
                  <to>
                    <xdr:col>7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Drop Down 3">
              <controlPr defaultSize="0" autoLine="0" autoPict="0">
                <anchor moveWithCells="1" sizeWithCells="1">
                  <from>
                    <xdr:col>8</xdr:col>
                    <xdr:colOff>133350</xdr:colOff>
                    <xdr:row>4</xdr:row>
                    <xdr:rowOff>219075</xdr:rowOff>
                  </from>
                  <to>
                    <xdr:col>9</xdr:col>
                    <xdr:colOff>19050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351A-B69A-4F1B-A13C-88E89CAF4066}">
  <dimension ref="A1:AP38"/>
  <sheetViews>
    <sheetView zoomScaleNormal="100" workbookViewId="0">
      <selection activeCell="J13" sqref="J13:K15"/>
    </sheetView>
  </sheetViews>
  <sheetFormatPr defaultColWidth="8.7109375" defaultRowHeight="15" x14ac:dyDescent="0.25"/>
  <cols>
    <col min="1" max="1" width="4.5703125" style="23" customWidth="1"/>
    <col min="2" max="2" width="4.140625" style="23" customWidth="1"/>
    <col min="3" max="3" width="9.140625" style="23" customWidth="1"/>
    <col min="4" max="4" width="4.42578125" style="23" customWidth="1"/>
    <col min="5" max="5" width="7.85546875" style="23" customWidth="1"/>
    <col min="6" max="6" width="4.140625" style="23" customWidth="1"/>
    <col min="7" max="7" width="4.42578125" style="23" customWidth="1"/>
    <col min="8" max="8" width="8.28515625" style="23" bestFit="1" customWidth="1"/>
    <col min="9" max="9" width="8.7109375" style="23"/>
    <col min="10" max="10" width="4.140625" style="23" customWidth="1"/>
    <col min="11" max="11" width="8.42578125" style="23" customWidth="1"/>
    <col min="12" max="12" width="7.7109375" style="23" customWidth="1"/>
    <col min="13" max="13" width="9.140625" style="23" customWidth="1"/>
    <col min="14" max="14" width="3.85546875" style="23" customWidth="1"/>
    <col min="15" max="15" width="7.140625" style="23" customWidth="1"/>
    <col min="16" max="16" width="4.5703125" style="23" customWidth="1"/>
    <col min="17" max="17" width="8.140625" style="23" customWidth="1"/>
    <col min="18" max="18" width="8.7109375" style="23"/>
    <col min="19" max="21" width="7" style="23" customWidth="1"/>
    <col min="22" max="22" width="4.140625" style="23" customWidth="1"/>
    <col min="23" max="23" width="9.28515625" style="23" customWidth="1"/>
    <col min="24" max="24" width="8.28515625" style="23" customWidth="1"/>
    <col min="25" max="26" width="7.140625" style="23" customWidth="1"/>
    <col min="27" max="27" width="5.42578125" style="23" customWidth="1"/>
    <col min="28" max="28" width="5.85546875" style="23" customWidth="1"/>
    <col min="29" max="29" width="6.28515625" style="23" customWidth="1"/>
    <col min="30" max="30" width="7.28515625" style="23" customWidth="1"/>
    <col min="31" max="31" width="8.7109375" style="23" hidden="1" customWidth="1"/>
    <col min="32" max="32" width="31.5703125" style="23" hidden="1" customWidth="1"/>
    <col min="33" max="36" width="8.7109375" style="23" hidden="1" customWidth="1"/>
    <col min="37" max="37" width="8.7109375" style="23" customWidth="1"/>
    <col min="38" max="16384" width="8.7109375" style="23"/>
  </cols>
  <sheetData>
    <row r="1" spans="1:42" s="21" customFormat="1" ht="17.45" customHeight="1" x14ac:dyDescent="0.25">
      <c r="A1" s="158" t="s">
        <v>72</v>
      </c>
      <c r="B1" s="158"/>
      <c r="C1" s="158"/>
      <c r="D1" s="158"/>
      <c r="E1" s="158"/>
      <c r="F1" s="158"/>
      <c r="G1" s="158"/>
      <c r="H1" s="20"/>
      <c r="I1" s="159" t="s">
        <v>142</v>
      </c>
      <c r="J1" s="159"/>
      <c r="K1" s="159"/>
      <c r="L1" s="159"/>
      <c r="M1" s="159"/>
      <c r="N1" s="159"/>
      <c r="O1" s="159"/>
      <c r="P1" s="159"/>
      <c r="Q1" s="160" t="s">
        <v>101</v>
      </c>
      <c r="R1" s="160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7">
        <v>4</v>
      </c>
      <c r="AF1" s="17" t="s">
        <v>69</v>
      </c>
      <c r="AG1" s="21">
        <v>1</v>
      </c>
      <c r="AH1" s="22">
        <v>0.17</v>
      </c>
      <c r="AI1" s="22">
        <v>0</v>
      </c>
      <c r="AJ1" s="22">
        <v>0.15</v>
      </c>
      <c r="AL1" s="55"/>
      <c r="AO1" s="51"/>
      <c r="AP1" s="51"/>
    </row>
    <row r="2" spans="1:42" s="21" customFormat="1" ht="40.5" customHeight="1" x14ac:dyDescent="0.25">
      <c r="A2" s="43" t="s">
        <v>74</v>
      </c>
      <c r="B2" s="20"/>
      <c r="C2" s="20"/>
      <c r="D2" s="20"/>
      <c r="E2" s="20"/>
      <c r="F2" s="165">
        <f>AN6</f>
        <v>0.03</v>
      </c>
      <c r="G2" s="166"/>
      <c r="H2" s="83" t="s">
        <v>100</v>
      </c>
      <c r="I2" s="159"/>
      <c r="J2" s="159"/>
      <c r="K2" s="159"/>
      <c r="L2" s="159"/>
      <c r="M2" s="159"/>
      <c r="N2" s="159"/>
      <c r="O2" s="159"/>
      <c r="P2" s="159"/>
      <c r="Q2" s="160"/>
      <c r="R2" s="160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F2" s="17" t="s">
        <v>70</v>
      </c>
      <c r="AG2" s="21">
        <f>+AG1+1</f>
        <v>2</v>
      </c>
      <c r="AH2" s="22">
        <v>0.17</v>
      </c>
      <c r="AI2" s="22">
        <v>0.17</v>
      </c>
      <c r="AJ2" s="22">
        <v>0.15</v>
      </c>
      <c r="AL2" s="64" t="s">
        <v>84</v>
      </c>
      <c r="AM2" s="49"/>
      <c r="AN2" s="67"/>
      <c r="AO2" s="65" t="s">
        <v>76</v>
      </c>
      <c r="AP2" s="65" t="s">
        <v>77</v>
      </c>
    </row>
    <row r="3" spans="1:42" s="21" customFormat="1" ht="17.45" customHeight="1" x14ac:dyDescent="0.25">
      <c r="A3" s="158" t="s">
        <v>73</v>
      </c>
      <c r="B3" s="158"/>
      <c r="C3" s="158"/>
      <c r="D3" s="158"/>
      <c r="E3" s="158"/>
      <c r="F3" s="158"/>
      <c r="G3" s="158"/>
      <c r="H3" s="167"/>
      <c r="I3" s="167"/>
      <c r="J3" s="167"/>
      <c r="K3" s="167"/>
      <c r="L3" s="42">
        <v>5</v>
      </c>
      <c r="M3" s="168" t="str">
        <f>+IF(AE5=1,IF(ISBLANK(L3),"","geen waarde invullen"),IF(AND(AE5&gt;1,L3=0),"aantal bevestigers invullen","stuks/m²"))</f>
        <v>stuks/m²</v>
      </c>
      <c r="N3" s="168"/>
      <c r="O3" s="168"/>
      <c r="P3" s="168"/>
      <c r="Q3" s="168"/>
      <c r="R3" s="168"/>
      <c r="S3" s="169" t="s">
        <v>121</v>
      </c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F3" s="17" t="s">
        <v>46</v>
      </c>
      <c r="AG3" s="21">
        <f>+AG2+1</f>
        <v>3</v>
      </c>
      <c r="AH3" s="22">
        <v>0.13</v>
      </c>
      <c r="AI3" s="22">
        <v>0.04</v>
      </c>
      <c r="AJ3" s="22">
        <v>0.36</v>
      </c>
      <c r="AL3" s="58" t="s">
        <v>99</v>
      </c>
      <c r="AM3" s="58" t="s">
        <v>96</v>
      </c>
      <c r="AN3" s="68">
        <v>0.03</v>
      </c>
      <c r="AO3" s="50"/>
      <c r="AP3" s="50"/>
    </row>
    <row r="4" spans="1:42" s="21" customFormat="1" ht="17.45" customHeight="1" x14ac:dyDescent="0.25">
      <c r="A4" s="172"/>
      <c r="B4" s="172"/>
      <c r="C4" s="172"/>
      <c r="D4" s="172"/>
      <c r="E4" s="172"/>
      <c r="F4" s="172"/>
      <c r="G4" s="172"/>
      <c r="H4" s="167" t="str">
        <f>+IF(AE5&gt;1,"diameter bevestiger","")</f>
        <v>diameter bevestiger</v>
      </c>
      <c r="I4" s="167"/>
      <c r="J4" s="167"/>
      <c r="K4" s="167"/>
      <c r="L4" s="42">
        <v>5</v>
      </c>
      <c r="M4" s="173" t="str">
        <f>+IF(AE5=1,IF(ISBLANK(L4),"","geen waarde invullen"),IF(AND(AE5&gt;1,L4=0),"diameter bevestigers invullen","mm"))</f>
        <v>mm</v>
      </c>
      <c r="N4" s="173"/>
      <c r="O4" s="173"/>
      <c r="P4" s="173"/>
      <c r="Q4" s="173"/>
      <c r="R4" s="173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F4" s="17" t="s">
        <v>47</v>
      </c>
      <c r="AG4" s="21">
        <f>+AG3+1</f>
        <v>4</v>
      </c>
      <c r="AH4" s="22">
        <v>0.1</v>
      </c>
      <c r="AI4" s="22">
        <v>0.04</v>
      </c>
      <c r="AJ4" s="22">
        <v>0.22</v>
      </c>
      <c r="AM4" s="21" t="s">
        <v>75</v>
      </c>
      <c r="AN4" s="50"/>
      <c r="AO4" s="66">
        <v>1</v>
      </c>
      <c r="AP4" s="66">
        <v>1</v>
      </c>
    </row>
    <row r="5" spans="1:42" s="21" customFormat="1" ht="17.45" customHeight="1" thickBot="1" x14ac:dyDescent="0.3">
      <c r="A5" s="174" t="s">
        <v>68</v>
      </c>
      <c r="B5" s="174"/>
      <c r="C5" s="174"/>
      <c r="D5" s="174"/>
      <c r="E5" s="174"/>
      <c r="F5" s="174"/>
      <c r="G5" s="174"/>
      <c r="H5" s="174"/>
      <c r="I5" s="174"/>
      <c r="J5" s="175" t="str">
        <f>+IF(AE8=1,"hout %","")</f>
        <v/>
      </c>
      <c r="K5" s="175"/>
      <c r="L5" s="18">
        <v>6.5000000000000002E-2</v>
      </c>
      <c r="M5" s="176" t="str">
        <f>+IF(AE8=2,IF(ISBLANK(L5),"","geen waarde invullen"),IF(AND(AE8=1,ISNUMBER(L5),L5&gt;0),"","percentage invullen"))</f>
        <v>geen waarde invullen</v>
      </c>
      <c r="N5" s="176"/>
      <c r="O5" s="176"/>
      <c r="P5" s="176"/>
      <c r="Q5" s="176"/>
      <c r="R5" s="176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9">
        <v>2</v>
      </c>
      <c r="AF5" s="19" t="s">
        <v>57</v>
      </c>
      <c r="AG5" s="23">
        <v>1</v>
      </c>
      <c r="AH5" s="24" t="s">
        <v>62</v>
      </c>
      <c r="AI5" s="25" t="s">
        <v>60</v>
      </c>
      <c r="AM5" s="21" t="s">
        <v>97</v>
      </c>
      <c r="AN5" s="82">
        <f>AN3*AO4*AP4</f>
        <v>0.03</v>
      </c>
      <c r="AO5" s="50"/>
      <c r="AP5" s="50"/>
    </row>
    <row r="6" spans="1:42" ht="13.5" customHeight="1" x14ac:dyDescent="0.25">
      <c r="A6" s="26" t="s">
        <v>63</v>
      </c>
      <c r="B6" s="177" t="s">
        <v>27</v>
      </c>
      <c r="C6" s="178"/>
      <c r="D6" s="177" t="s">
        <v>28</v>
      </c>
      <c r="E6" s="178"/>
      <c r="F6" s="177" t="s">
        <v>29</v>
      </c>
      <c r="G6" s="179"/>
      <c r="H6" s="178"/>
      <c r="I6" s="9" t="s">
        <v>30</v>
      </c>
      <c r="J6" s="177" t="s">
        <v>31</v>
      </c>
      <c r="K6" s="178"/>
      <c r="L6" s="13" t="s">
        <v>32</v>
      </c>
      <c r="M6" s="177" t="s">
        <v>33</v>
      </c>
      <c r="N6" s="179"/>
      <c r="O6" s="177" t="s">
        <v>34</v>
      </c>
      <c r="P6" s="179"/>
      <c r="Q6" s="13" t="s">
        <v>21</v>
      </c>
      <c r="R6" s="9" t="s">
        <v>35</v>
      </c>
      <c r="S6" s="13" t="s">
        <v>36</v>
      </c>
      <c r="T6" s="9" t="s">
        <v>37</v>
      </c>
      <c r="U6" s="9" t="s">
        <v>38</v>
      </c>
      <c r="V6" s="177" t="s">
        <v>39</v>
      </c>
      <c r="W6" s="179"/>
      <c r="X6" s="178"/>
      <c r="Y6" s="9" t="s">
        <v>1</v>
      </c>
      <c r="Z6" s="11" t="s">
        <v>40</v>
      </c>
      <c r="AA6" s="205" t="s">
        <v>41</v>
      </c>
      <c r="AB6" s="206"/>
      <c r="AC6" s="207"/>
      <c r="AD6" s="13" t="s">
        <v>41</v>
      </c>
      <c r="AF6" s="19" t="s">
        <v>58</v>
      </c>
      <c r="AG6" s="23">
        <f>+AG5+1</f>
        <v>2</v>
      </c>
      <c r="AH6" s="23">
        <v>50</v>
      </c>
      <c r="AI6" s="23" t="s">
        <v>61</v>
      </c>
      <c r="AL6" s="49"/>
      <c r="AM6" s="62" t="s">
        <v>98</v>
      </c>
      <c r="AN6" s="69">
        <f>AN5</f>
        <v>0.03</v>
      </c>
      <c r="AO6" s="63"/>
      <c r="AP6" s="63"/>
    </row>
    <row r="7" spans="1:42" ht="13.5" customHeight="1" x14ac:dyDescent="0.25">
      <c r="A7" s="27"/>
      <c r="B7" s="161" t="s">
        <v>56</v>
      </c>
      <c r="C7" s="162"/>
      <c r="D7" s="10"/>
      <c r="E7" s="28"/>
      <c r="F7" s="161" t="s">
        <v>44</v>
      </c>
      <c r="G7" s="163"/>
      <c r="H7" s="162"/>
      <c r="I7" s="10" t="s">
        <v>43</v>
      </c>
      <c r="J7" s="161" t="s">
        <v>44</v>
      </c>
      <c r="K7" s="162"/>
      <c r="L7" s="14" t="s">
        <v>43</v>
      </c>
      <c r="M7" s="161" t="s">
        <v>54</v>
      </c>
      <c r="N7" s="163"/>
      <c r="O7" s="161" t="s">
        <v>55</v>
      </c>
      <c r="P7" s="163"/>
      <c r="Q7" s="14" t="s">
        <v>52</v>
      </c>
      <c r="R7" s="10" t="s">
        <v>53</v>
      </c>
      <c r="S7" s="14" t="s">
        <v>43</v>
      </c>
      <c r="T7" s="10" t="s">
        <v>49</v>
      </c>
      <c r="U7" s="10">
        <v>8.1300000000000008</v>
      </c>
      <c r="V7" s="161" t="s">
        <v>50</v>
      </c>
      <c r="W7" s="163"/>
      <c r="X7" s="162"/>
      <c r="Y7" s="10" t="s">
        <v>48</v>
      </c>
      <c r="Z7" s="12" t="s">
        <v>42</v>
      </c>
      <c r="AA7" s="208" t="s">
        <v>51</v>
      </c>
      <c r="AB7" s="209"/>
      <c r="AC7" s="210"/>
      <c r="AD7" s="14"/>
      <c r="AF7" s="19" t="s">
        <v>59</v>
      </c>
      <c r="AG7" s="23">
        <f>+AG6+1</f>
        <v>3</v>
      </c>
      <c r="AH7" s="23">
        <v>17</v>
      </c>
      <c r="AI7" s="23" t="s">
        <v>61</v>
      </c>
    </row>
    <row r="8" spans="1:42" ht="13.5" customHeight="1" x14ac:dyDescent="0.25">
      <c r="A8" s="146" t="s">
        <v>65</v>
      </c>
      <c r="B8" s="149" t="s">
        <v>3</v>
      </c>
      <c r="C8" s="150"/>
      <c r="D8" s="149" t="s">
        <v>3</v>
      </c>
      <c r="E8" s="150"/>
      <c r="F8" s="149" t="s">
        <v>117</v>
      </c>
      <c r="G8" s="150"/>
      <c r="H8" s="155"/>
      <c r="I8" s="149" t="s">
        <v>9</v>
      </c>
      <c r="J8" s="149" t="s">
        <v>15</v>
      </c>
      <c r="K8" s="150"/>
      <c r="L8" s="199" t="s">
        <v>9</v>
      </c>
      <c r="M8" s="180" t="s">
        <v>13</v>
      </c>
      <c r="N8" s="182" t="s">
        <v>14</v>
      </c>
      <c r="O8" s="149" t="s">
        <v>119</v>
      </c>
      <c r="P8" s="155"/>
      <c r="Q8" s="184" t="s">
        <v>116</v>
      </c>
      <c r="R8" s="187" t="s">
        <v>115</v>
      </c>
      <c r="S8" s="239" t="s">
        <v>23</v>
      </c>
      <c r="T8" s="149" t="s">
        <v>24</v>
      </c>
      <c r="U8" s="199" t="s">
        <v>25</v>
      </c>
      <c r="V8" s="149" t="s">
        <v>22</v>
      </c>
      <c r="W8" s="150"/>
      <c r="X8" s="193" t="s">
        <v>26</v>
      </c>
      <c r="Y8" s="149" t="s">
        <v>0</v>
      </c>
      <c r="Z8" s="149" t="s">
        <v>2</v>
      </c>
      <c r="AA8" s="149" t="s">
        <v>120</v>
      </c>
      <c r="AB8" s="211"/>
      <c r="AC8" s="212"/>
      <c r="AD8" s="224" t="s">
        <v>4</v>
      </c>
      <c r="AE8" s="19">
        <v>2</v>
      </c>
      <c r="AF8" s="19" t="s">
        <v>66</v>
      </c>
      <c r="AH8" s="29"/>
    </row>
    <row r="9" spans="1:42" ht="13.5" customHeight="1" x14ac:dyDescent="0.25">
      <c r="A9" s="147"/>
      <c r="B9" s="151"/>
      <c r="C9" s="152"/>
      <c r="D9" s="151"/>
      <c r="E9" s="152"/>
      <c r="F9" s="151"/>
      <c r="G9" s="152"/>
      <c r="H9" s="156"/>
      <c r="I9" s="151"/>
      <c r="J9" s="151"/>
      <c r="K9" s="152"/>
      <c r="L9" s="200"/>
      <c r="M9" s="181"/>
      <c r="N9" s="183"/>
      <c r="O9" s="151"/>
      <c r="P9" s="156"/>
      <c r="Q9" s="185"/>
      <c r="R9" s="188"/>
      <c r="S9" s="240"/>
      <c r="T9" s="151"/>
      <c r="U9" s="200"/>
      <c r="V9" s="151"/>
      <c r="W9" s="152"/>
      <c r="X9" s="194"/>
      <c r="Y9" s="151"/>
      <c r="Z9" s="151"/>
      <c r="AA9" s="213"/>
      <c r="AB9" s="214"/>
      <c r="AC9" s="215"/>
      <c r="AD9" s="225"/>
      <c r="AF9" s="19" t="s">
        <v>67</v>
      </c>
      <c r="AG9" s="29"/>
      <c r="AH9" s="29"/>
      <c r="AI9" s="29"/>
      <c r="AJ9" s="29"/>
    </row>
    <row r="10" spans="1:42" ht="13.5" customHeight="1" x14ac:dyDescent="0.25">
      <c r="A10" s="147"/>
      <c r="B10" s="151"/>
      <c r="C10" s="152"/>
      <c r="D10" s="151"/>
      <c r="E10" s="152"/>
      <c r="F10" s="151"/>
      <c r="G10" s="152"/>
      <c r="H10" s="156"/>
      <c r="I10" s="151"/>
      <c r="J10" s="151"/>
      <c r="K10" s="152"/>
      <c r="L10" s="200"/>
      <c r="M10" s="181"/>
      <c r="N10" s="183"/>
      <c r="O10" s="151"/>
      <c r="P10" s="156"/>
      <c r="Q10" s="185"/>
      <c r="R10" s="188"/>
      <c r="S10" s="240"/>
      <c r="T10" s="151"/>
      <c r="U10" s="200"/>
      <c r="V10" s="151"/>
      <c r="W10" s="152"/>
      <c r="X10" s="194"/>
      <c r="Y10" s="151"/>
      <c r="Z10" s="151"/>
      <c r="AA10" s="213"/>
      <c r="AB10" s="214"/>
      <c r="AC10" s="215"/>
      <c r="AD10" s="225"/>
      <c r="AJ10" s="29"/>
    </row>
    <row r="11" spans="1:42" ht="13.5" customHeight="1" x14ac:dyDescent="0.25">
      <c r="A11" s="147"/>
      <c r="B11" s="151"/>
      <c r="C11" s="152"/>
      <c r="D11" s="151"/>
      <c r="E11" s="152"/>
      <c r="F11" s="151"/>
      <c r="G11" s="152"/>
      <c r="H11" s="156"/>
      <c r="I11" s="151"/>
      <c r="J11" s="151"/>
      <c r="K11" s="152"/>
      <c r="L11" s="200"/>
      <c r="M11" s="181"/>
      <c r="N11" s="183"/>
      <c r="O11" s="151"/>
      <c r="P11" s="156"/>
      <c r="Q11" s="185"/>
      <c r="R11" s="188"/>
      <c r="S11" s="240"/>
      <c r="T11" s="151"/>
      <c r="U11" s="200"/>
      <c r="V11" s="151"/>
      <c r="W11" s="152"/>
      <c r="X11" s="194"/>
      <c r="Y11" s="151"/>
      <c r="Z11" s="151"/>
      <c r="AA11" s="213"/>
      <c r="AB11" s="214"/>
      <c r="AC11" s="215"/>
      <c r="AD11" s="225"/>
      <c r="AH11" s="29"/>
      <c r="AI11" s="29"/>
      <c r="AJ11" s="29"/>
    </row>
    <row r="12" spans="1:42" ht="13.5" customHeight="1" x14ac:dyDescent="0.25">
      <c r="A12" s="147"/>
      <c r="B12" s="153"/>
      <c r="C12" s="154"/>
      <c r="D12" s="153"/>
      <c r="E12" s="154"/>
      <c r="F12" s="153"/>
      <c r="G12" s="154"/>
      <c r="H12" s="157"/>
      <c r="I12" s="153"/>
      <c r="J12" s="153"/>
      <c r="K12" s="154"/>
      <c r="L12" s="201"/>
      <c r="M12" s="227" t="str">
        <f>+CONCATENATE(G16*100,"% x")</f>
        <v>100% x</v>
      </c>
      <c r="N12" s="229" t="str">
        <f>+CONCATENATE(ROUND(K16*100,1),"% x")</f>
        <v>0% x</v>
      </c>
      <c r="O12" s="153"/>
      <c r="P12" s="157"/>
      <c r="Q12" s="185"/>
      <c r="R12" s="188"/>
      <c r="S12" s="240"/>
      <c r="T12" s="153"/>
      <c r="U12" s="201"/>
      <c r="V12" s="151"/>
      <c r="W12" s="152"/>
      <c r="X12" s="194"/>
      <c r="Y12" s="153"/>
      <c r="Z12" s="153"/>
      <c r="AA12" s="213"/>
      <c r="AB12" s="214"/>
      <c r="AC12" s="215"/>
      <c r="AD12" s="226"/>
      <c r="AF12" s="30"/>
      <c r="AH12" s="29"/>
      <c r="AI12" s="29"/>
      <c r="AJ12" s="29"/>
    </row>
    <row r="13" spans="1:42" ht="13.5" customHeight="1" x14ac:dyDescent="0.25">
      <c r="A13" s="147"/>
      <c r="B13" s="1" t="s">
        <v>11</v>
      </c>
      <c r="C13" s="31">
        <f>+F2</f>
        <v>0.03</v>
      </c>
      <c r="D13" s="1" t="s">
        <v>12</v>
      </c>
      <c r="E13" s="31">
        <v>0.13</v>
      </c>
      <c r="F13" s="1" t="s">
        <v>8</v>
      </c>
      <c r="G13" s="32">
        <f>+VLOOKUP(AE1,AG1:AJ4,2)</f>
        <v>0.1</v>
      </c>
      <c r="H13" s="32" t="s">
        <v>45</v>
      </c>
      <c r="I13" s="196"/>
      <c r="J13" s="231"/>
      <c r="K13" s="232"/>
      <c r="L13" s="235"/>
      <c r="M13" s="227"/>
      <c r="N13" s="229"/>
      <c r="O13" s="191" t="s">
        <v>18</v>
      </c>
      <c r="P13" s="238"/>
      <c r="Q13" s="185"/>
      <c r="R13" s="188"/>
      <c r="S13" s="240"/>
      <c r="T13" s="196"/>
      <c r="U13" s="196"/>
      <c r="V13" s="153"/>
      <c r="W13" s="154"/>
      <c r="X13" s="195"/>
      <c r="Y13" s="196"/>
      <c r="Z13" s="190"/>
      <c r="AA13" s="99"/>
      <c r="AB13" s="101"/>
      <c r="AC13" s="102"/>
      <c r="AD13" s="202"/>
      <c r="AH13" s="29"/>
      <c r="AI13" s="29"/>
      <c r="AJ13" s="29"/>
      <c r="AK13" s="29"/>
    </row>
    <row r="14" spans="1:42" ht="13.5" customHeight="1" x14ac:dyDescent="0.25">
      <c r="A14" s="147"/>
      <c r="B14" s="216" t="s">
        <v>64</v>
      </c>
      <c r="C14" s="217"/>
      <c r="D14" s="216" t="s">
        <v>61</v>
      </c>
      <c r="E14" s="217"/>
      <c r="F14" s="1" t="s">
        <v>10</v>
      </c>
      <c r="G14" s="32">
        <f>+VLOOKUP(AE1,AG1:AJ4,3)</f>
        <v>0.04</v>
      </c>
      <c r="H14" s="32" t="s">
        <v>45</v>
      </c>
      <c r="I14" s="197"/>
      <c r="J14" s="233"/>
      <c r="K14" s="234"/>
      <c r="L14" s="236"/>
      <c r="M14" s="228"/>
      <c r="N14" s="230"/>
      <c r="O14" s="1" t="str">
        <f>+CONCATENATE(G16*100,"% x")</f>
        <v>100% x</v>
      </c>
      <c r="P14" s="2" t="s">
        <v>19</v>
      </c>
      <c r="Q14" s="186"/>
      <c r="R14" s="189"/>
      <c r="S14" s="241"/>
      <c r="T14" s="197"/>
      <c r="U14" s="197"/>
      <c r="V14" s="33" t="s">
        <v>5</v>
      </c>
      <c r="W14" s="32">
        <f>+IF(AND(ISNUMBER(L3),L3&gt;0),L3,"n.v.t.")</f>
        <v>5</v>
      </c>
      <c r="X14" s="8" t="str">
        <f>+IF(W14="n.v.t.","","stuks/m²")</f>
        <v>stuks/m²</v>
      </c>
      <c r="Y14" s="197"/>
      <c r="Z14" s="191"/>
      <c r="AA14" s="98"/>
      <c r="AB14" s="103"/>
      <c r="AC14" s="104"/>
      <c r="AD14" s="203"/>
    </row>
    <row r="15" spans="1:42" ht="13.5" customHeight="1" x14ac:dyDescent="0.25">
      <c r="A15" s="147"/>
      <c r="B15" s="216"/>
      <c r="C15" s="217"/>
      <c r="D15" s="216"/>
      <c r="E15" s="217"/>
      <c r="F15" s="34"/>
      <c r="G15" s="32"/>
      <c r="H15" s="32"/>
      <c r="I15" s="197"/>
      <c r="J15" s="233"/>
      <c r="K15" s="234"/>
      <c r="L15" s="236"/>
      <c r="M15" s="190"/>
      <c r="N15" s="220"/>
      <c r="O15" s="1" t="str">
        <f>+CONCATENATE(ROUND(K16*100,1),"% x")</f>
        <v>0% x</v>
      </c>
      <c r="P15" s="2" t="s">
        <v>20</v>
      </c>
      <c r="Q15" s="196"/>
      <c r="R15" s="196"/>
      <c r="S15" s="196"/>
      <c r="T15" s="197"/>
      <c r="U15" s="197"/>
      <c r="V15" s="5" t="s">
        <v>6</v>
      </c>
      <c r="W15" s="6">
        <f>+VLOOKUP(AE5,AG5:AI7,2)</f>
        <v>50</v>
      </c>
      <c r="X15" s="8" t="str">
        <f>+VLOOKUP(AE5,AG5:AI7,3)</f>
        <v>tabel H.1</v>
      </c>
      <c r="Y15" s="197"/>
      <c r="Z15" s="191"/>
      <c r="AA15" s="98"/>
      <c r="AB15" s="103"/>
      <c r="AC15" s="104"/>
      <c r="AD15" s="203"/>
      <c r="AF15" s="24" t="s">
        <v>60</v>
      </c>
      <c r="AL15" s="53"/>
      <c r="AM15" s="56"/>
    </row>
    <row r="16" spans="1:42" ht="13.5" customHeight="1" thickBot="1" x14ac:dyDescent="0.3">
      <c r="A16" s="148"/>
      <c r="B16" s="218"/>
      <c r="C16" s="219"/>
      <c r="D16" s="218"/>
      <c r="E16" s="219"/>
      <c r="F16" s="3" t="s">
        <v>17</v>
      </c>
      <c r="G16" s="222">
        <f>1-K16</f>
        <v>1</v>
      </c>
      <c r="H16" s="223"/>
      <c r="I16" s="198"/>
      <c r="J16" s="16" t="s">
        <v>16</v>
      </c>
      <c r="K16" s="35">
        <f>+IF(AE8=1,L5,0)</f>
        <v>0</v>
      </c>
      <c r="L16" s="237"/>
      <c r="M16" s="192"/>
      <c r="N16" s="221"/>
      <c r="O16" s="44"/>
      <c r="P16" s="4"/>
      <c r="Q16" s="198"/>
      <c r="R16" s="198"/>
      <c r="S16" s="198"/>
      <c r="T16" s="198"/>
      <c r="U16" s="198"/>
      <c r="V16" s="7" t="s">
        <v>7</v>
      </c>
      <c r="W16" s="36">
        <f>+IF(AND(ISNUMBER(L4),L4&gt;0),L4,"n.v.t.")</f>
        <v>5</v>
      </c>
      <c r="X16" s="15" t="str">
        <f>+IF(W16="n.v.t.","","mm")</f>
        <v>mm</v>
      </c>
      <c r="Y16" s="198"/>
      <c r="Z16" s="192"/>
      <c r="AA16" s="105" t="s">
        <v>118</v>
      </c>
      <c r="AB16" s="106">
        <f>+VLOOKUP(AE1,AG1:AJ4,4)</f>
        <v>0.22</v>
      </c>
      <c r="AC16" s="107" t="s">
        <v>65</v>
      </c>
      <c r="AD16" s="204"/>
      <c r="AL16" s="54" t="s">
        <v>83</v>
      </c>
      <c r="AM16" s="84" t="s">
        <v>123</v>
      </c>
    </row>
    <row r="17" spans="1:39" ht="13.5" customHeight="1" x14ac:dyDescent="0.25">
      <c r="A17" s="23">
        <v>40</v>
      </c>
      <c r="B17" s="242">
        <f>+$A17*0.001/C$13</f>
        <v>1.3333333333333335</v>
      </c>
      <c r="C17" s="243"/>
      <c r="D17" s="242">
        <f>+$A17*0.001/E$13</f>
        <v>0.30769230769230771</v>
      </c>
      <c r="E17" s="243"/>
      <c r="F17" s="242">
        <f t="shared" ref="F17:F35" si="0">(B17+$G$13+$G$14)</f>
        <v>1.4733333333333336</v>
      </c>
      <c r="G17" s="243"/>
      <c r="H17" s="46"/>
      <c r="I17" s="38">
        <f>1/F17</f>
        <v>0.67873303167420806</v>
      </c>
      <c r="J17" s="242">
        <f t="shared" ref="J17:J35" si="1">(D17+$G$13+$G$14)</f>
        <v>0.44769230769230767</v>
      </c>
      <c r="K17" s="243"/>
      <c r="L17" s="38">
        <f>1/J17</f>
        <v>2.2336769759450172</v>
      </c>
      <c r="M17" s="242">
        <f>1/($G$16*I17+$K$16*L17)</f>
        <v>1.4733333333333336</v>
      </c>
      <c r="N17" s="243"/>
      <c r="O17" s="242">
        <f t="shared" ref="O17:O35" si="2">+A17*0.001/($G$16*$C$13+$K$16*$E$13)+$G$13+$G$14</f>
        <v>1.4733333333333336</v>
      </c>
      <c r="P17" s="243"/>
      <c r="Q17" s="45">
        <f t="shared" ref="Q17:Q35" si="3">+IF(M17/(O17)&lt;1.05,0,1)</f>
        <v>0</v>
      </c>
      <c r="R17" s="38">
        <f t="shared" ref="R17:R35" si="4">+((Q17*M17+O17)/(1+1.05*Q17))</f>
        <v>1.4733333333333336</v>
      </c>
      <c r="S17" s="38">
        <f>1/R17</f>
        <v>0.67873303167420806</v>
      </c>
      <c r="T17" s="38">
        <v>0</v>
      </c>
      <c r="U17" s="38">
        <v>0</v>
      </c>
      <c r="V17" s="242">
        <f>+IF(ISNUMBER($W$15),POWER(B17/R17,2)*((0.8*A17/A17)*($L$3*$W$15*PI()*POWER(($L$4/2)*0.001,2))/(A17*0.001)),0)</f>
        <v>8.0403571118266223E-2</v>
      </c>
      <c r="W17" s="243"/>
      <c r="X17" s="46"/>
      <c r="Y17" s="38">
        <f>T17+U17+V17</f>
        <v>8.0403571118266223E-2</v>
      </c>
      <c r="Z17" s="38">
        <f t="shared" ref="Z17:Z35" si="5">S17/1+Y17</f>
        <v>0.7591366027924743</v>
      </c>
      <c r="AA17" s="38"/>
      <c r="AB17" s="100">
        <f t="shared" ref="AB17:AB35" si="6">1/Z17-$G$13-$G$14+$AB$16</f>
        <v>1.3972859750425848</v>
      </c>
      <c r="AC17" s="100"/>
      <c r="AD17" s="39">
        <f t="shared" ref="AD17:AD35" si="7">ROUND(AB17,1)</f>
        <v>1.4</v>
      </c>
      <c r="AE17" s="37"/>
      <c r="AL17" s="78">
        <f>A17</f>
        <v>40</v>
      </c>
      <c r="AM17" s="52">
        <f>AB17</f>
        <v>1.3972859750425848</v>
      </c>
    </row>
    <row r="18" spans="1:39" ht="13.5" customHeight="1" x14ac:dyDescent="0.25">
      <c r="A18" s="23">
        <f t="shared" ref="A18:A23" si="8">+A17+10</f>
        <v>50</v>
      </c>
      <c r="B18" s="242">
        <f t="shared" ref="B18:B35" si="9">+$A18*0.001/C$13</f>
        <v>1.6666666666666667</v>
      </c>
      <c r="C18" s="243"/>
      <c r="D18" s="242">
        <f>+$A18*0.001/E$13</f>
        <v>0.38461538461538464</v>
      </c>
      <c r="E18" s="243"/>
      <c r="F18" s="242">
        <f t="shared" si="0"/>
        <v>1.8066666666666669</v>
      </c>
      <c r="G18" s="243"/>
      <c r="H18" s="46"/>
      <c r="I18" s="38">
        <f>1/F18</f>
        <v>0.55350553505535049</v>
      </c>
      <c r="J18" s="242">
        <f t="shared" si="1"/>
        <v>0.52461538461538471</v>
      </c>
      <c r="K18" s="243"/>
      <c r="L18" s="38">
        <f>1/J18</f>
        <v>1.9061583577712606</v>
      </c>
      <c r="M18" s="242">
        <f t="shared" ref="M18:M35" si="10">1/($G$16*I18+$K$16*L18)</f>
        <v>1.8066666666666669</v>
      </c>
      <c r="N18" s="243"/>
      <c r="O18" s="242">
        <f t="shared" si="2"/>
        <v>1.8066666666666669</v>
      </c>
      <c r="P18" s="243"/>
      <c r="Q18" s="45">
        <f t="shared" si="3"/>
        <v>0</v>
      </c>
      <c r="R18" s="38">
        <f t="shared" si="4"/>
        <v>1.8066666666666669</v>
      </c>
      <c r="S18" s="38">
        <f t="shared" ref="S18:S35" si="11">1/R18</f>
        <v>0.55350553505535049</v>
      </c>
      <c r="T18" s="38">
        <v>0</v>
      </c>
      <c r="U18" s="38">
        <v>0</v>
      </c>
      <c r="V18" s="242">
        <f t="shared" ref="V18:V35" si="12">+IF(ISNUMBER($W$15),POWER(B18/R18,2)*((0.8*A18/A18)*($L$3*$W$15*PI()*POWER(($L$4/2)*0.001,2))/(A18*0.001)),0)</f>
        <v>6.6839211356518172E-2</v>
      </c>
      <c r="W18" s="243"/>
      <c r="X18" s="46"/>
      <c r="Y18" s="38">
        <f t="shared" ref="Y18:Y35" si="13">T18+U18+V18</f>
        <v>6.6839211356518172E-2</v>
      </c>
      <c r="Z18" s="38">
        <f t="shared" si="5"/>
        <v>0.62034474641186865</v>
      </c>
      <c r="AA18" s="38"/>
      <c r="AB18" s="100">
        <f t="shared" si="6"/>
        <v>1.6920068813092919</v>
      </c>
      <c r="AC18" s="100"/>
      <c r="AD18" s="39">
        <f t="shared" si="7"/>
        <v>1.7</v>
      </c>
      <c r="AL18" s="78">
        <f t="shared" ref="AL18:AL35" si="14">A18</f>
        <v>50</v>
      </c>
      <c r="AM18" s="52">
        <f t="shared" ref="AM18:AM35" si="15">AB18</f>
        <v>1.6920068813092919</v>
      </c>
    </row>
    <row r="19" spans="1:39" ht="13.5" customHeight="1" x14ac:dyDescent="0.25">
      <c r="A19" s="23">
        <f t="shared" si="8"/>
        <v>60</v>
      </c>
      <c r="B19" s="242">
        <f t="shared" si="9"/>
        <v>2</v>
      </c>
      <c r="C19" s="243"/>
      <c r="D19" s="242">
        <f t="shared" ref="D19:D35" si="16">+$A19*0.001/E$13</f>
        <v>0.46153846153846151</v>
      </c>
      <c r="E19" s="243"/>
      <c r="F19" s="242">
        <f t="shared" si="0"/>
        <v>2.14</v>
      </c>
      <c r="G19" s="243"/>
      <c r="H19" s="46"/>
      <c r="I19" s="38">
        <f t="shared" ref="I19:I35" si="17">1/F19</f>
        <v>0.46728971962616822</v>
      </c>
      <c r="J19" s="242">
        <f t="shared" si="1"/>
        <v>0.60153846153846158</v>
      </c>
      <c r="K19" s="243"/>
      <c r="L19" s="38">
        <f t="shared" ref="L19:L35" si="18">1/J19</f>
        <v>1.6624040920716112</v>
      </c>
      <c r="M19" s="242">
        <f t="shared" si="10"/>
        <v>2.14</v>
      </c>
      <c r="N19" s="243"/>
      <c r="O19" s="242">
        <f t="shared" si="2"/>
        <v>2.14</v>
      </c>
      <c r="P19" s="243"/>
      <c r="Q19" s="45">
        <f t="shared" si="3"/>
        <v>0</v>
      </c>
      <c r="R19" s="38">
        <f t="shared" si="4"/>
        <v>2.14</v>
      </c>
      <c r="S19" s="38">
        <f t="shared" si="11"/>
        <v>0.46728971962616822</v>
      </c>
      <c r="T19" s="38">
        <v>0</v>
      </c>
      <c r="U19" s="38">
        <v>0</v>
      </c>
      <c r="V19" s="242">
        <f t="shared" si="12"/>
        <v>5.7166431085498619E-2</v>
      </c>
      <c r="W19" s="243"/>
      <c r="X19" s="46"/>
      <c r="Y19" s="38">
        <f t="shared" si="13"/>
        <v>5.7166431085498619E-2</v>
      </c>
      <c r="Z19" s="38">
        <f t="shared" si="5"/>
        <v>0.52445615071166685</v>
      </c>
      <c r="AA19" s="38"/>
      <c r="AB19" s="100">
        <f t="shared" si="6"/>
        <v>1.9867371002190333</v>
      </c>
      <c r="AC19" s="100"/>
      <c r="AD19" s="39">
        <f t="shared" si="7"/>
        <v>2</v>
      </c>
      <c r="AL19" s="78">
        <f t="shared" si="14"/>
        <v>60</v>
      </c>
      <c r="AM19" s="52">
        <f t="shared" si="15"/>
        <v>1.9867371002190333</v>
      </c>
    </row>
    <row r="20" spans="1:39" ht="13.5" customHeight="1" x14ac:dyDescent="0.25">
      <c r="A20" s="23">
        <f t="shared" si="8"/>
        <v>70</v>
      </c>
      <c r="B20" s="242">
        <f t="shared" si="9"/>
        <v>2.3333333333333335</v>
      </c>
      <c r="C20" s="243"/>
      <c r="D20" s="242">
        <f t="shared" si="16"/>
        <v>0.53846153846153855</v>
      </c>
      <c r="E20" s="243"/>
      <c r="F20" s="242">
        <f t="shared" si="0"/>
        <v>2.4733333333333336</v>
      </c>
      <c r="G20" s="243"/>
      <c r="H20" s="46"/>
      <c r="I20" s="38">
        <f t="shared" si="17"/>
        <v>0.4043126684636118</v>
      </c>
      <c r="J20" s="242">
        <f t="shared" si="1"/>
        <v>0.67846153846153856</v>
      </c>
      <c r="K20" s="243"/>
      <c r="L20" s="38">
        <f t="shared" si="18"/>
        <v>1.4739229024943308</v>
      </c>
      <c r="M20" s="242">
        <f t="shared" si="10"/>
        <v>2.4733333333333336</v>
      </c>
      <c r="N20" s="243"/>
      <c r="O20" s="242">
        <f t="shared" si="2"/>
        <v>2.4733333333333336</v>
      </c>
      <c r="P20" s="243"/>
      <c r="Q20" s="45">
        <f t="shared" si="3"/>
        <v>0</v>
      </c>
      <c r="R20" s="38">
        <f t="shared" si="4"/>
        <v>2.4733333333333336</v>
      </c>
      <c r="S20" s="38">
        <f t="shared" si="11"/>
        <v>0.4043126684636118</v>
      </c>
      <c r="T20" s="38">
        <v>0</v>
      </c>
      <c r="U20" s="38">
        <v>0</v>
      </c>
      <c r="V20" s="242">
        <f t="shared" si="12"/>
        <v>4.9928683529817934E-2</v>
      </c>
      <c r="W20" s="243"/>
      <c r="X20" s="46"/>
      <c r="Y20" s="38">
        <f t="shared" si="13"/>
        <v>4.9928683529817934E-2</v>
      </c>
      <c r="Z20" s="38">
        <f t="shared" si="5"/>
        <v>0.45424135199342974</v>
      </c>
      <c r="AA20" s="38"/>
      <c r="AB20" s="100">
        <f t="shared" si="6"/>
        <v>2.2814728417206371</v>
      </c>
      <c r="AC20" s="100"/>
      <c r="AD20" s="39">
        <f t="shared" si="7"/>
        <v>2.2999999999999998</v>
      </c>
      <c r="AL20" s="78">
        <f t="shared" si="14"/>
        <v>70</v>
      </c>
      <c r="AM20" s="52">
        <f t="shared" si="15"/>
        <v>2.2814728417206371</v>
      </c>
    </row>
    <row r="21" spans="1:39" ht="13.5" customHeight="1" x14ac:dyDescent="0.25">
      <c r="A21" s="23">
        <f t="shared" si="8"/>
        <v>80</v>
      </c>
      <c r="B21" s="242">
        <f t="shared" si="9"/>
        <v>2.666666666666667</v>
      </c>
      <c r="C21" s="243"/>
      <c r="D21" s="242">
        <f t="shared" si="16"/>
        <v>0.61538461538461542</v>
      </c>
      <c r="E21" s="243"/>
      <c r="F21" s="242">
        <f t="shared" si="0"/>
        <v>2.8066666666666671</v>
      </c>
      <c r="G21" s="243"/>
      <c r="H21" s="46"/>
      <c r="I21" s="38">
        <f t="shared" si="17"/>
        <v>0.3562945368171021</v>
      </c>
      <c r="J21" s="242">
        <f t="shared" si="1"/>
        <v>0.75538461538461543</v>
      </c>
      <c r="K21" s="243"/>
      <c r="L21" s="38">
        <f t="shared" si="18"/>
        <v>1.3238289205702647</v>
      </c>
      <c r="M21" s="242">
        <f t="shared" si="10"/>
        <v>2.8066666666666671</v>
      </c>
      <c r="N21" s="243"/>
      <c r="O21" s="242">
        <f t="shared" si="2"/>
        <v>2.8066666666666671</v>
      </c>
      <c r="P21" s="243"/>
      <c r="Q21" s="45">
        <f t="shared" si="3"/>
        <v>0</v>
      </c>
      <c r="R21" s="38">
        <f t="shared" si="4"/>
        <v>2.8066666666666671</v>
      </c>
      <c r="S21" s="38">
        <f t="shared" si="11"/>
        <v>0.3562945368171021</v>
      </c>
      <c r="T21" s="38">
        <v>0</v>
      </c>
      <c r="U21" s="38">
        <v>0</v>
      </c>
      <c r="V21" s="242">
        <f t="shared" si="12"/>
        <v>4.4312442572398497E-2</v>
      </c>
      <c r="W21" s="243"/>
      <c r="X21" s="46"/>
      <c r="Y21" s="38">
        <f t="shared" si="13"/>
        <v>4.4312442572398497E-2</v>
      </c>
      <c r="Z21" s="38">
        <f t="shared" si="5"/>
        <v>0.40060697938950063</v>
      </c>
      <c r="AA21" s="38"/>
      <c r="AB21" s="100">
        <f t="shared" si="6"/>
        <v>2.5762121267181515</v>
      </c>
      <c r="AC21" s="100"/>
      <c r="AD21" s="39">
        <f t="shared" si="7"/>
        <v>2.6</v>
      </c>
      <c r="AF21" s="40"/>
      <c r="AL21" s="78">
        <f t="shared" si="14"/>
        <v>80</v>
      </c>
      <c r="AM21" s="52">
        <f t="shared" si="15"/>
        <v>2.5762121267181515</v>
      </c>
    </row>
    <row r="22" spans="1:39" ht="13.5" customHeight="1" x14ac:dyDescent="0.25">
      <c r="A22" s="23">
        <f t="shared" si="8"/>
        <v>90</v>
      </c>
      <c r="B22" s="242">
        <f t="shared" si="9"/>
        <v>3</v>
      </c>
      <c r="C22" s="243"/>
      <c r="D22" s="242">
        <f t="shared" si="16"/>
        <v>0.69230769230769229</v>
      </c>
      <c r="E22" s="243"/>
      <c r="F22" s="242">
        <f t="shared" si="0"/>
        <v>3.14</v>
      </c>
      <c r="G22" s="243"/>
      <c r="H22" s="46"/>
      <c r="I22" s="38">
        <f t="shared" si="17"/>
        <v>0.31847133757961782</v>
      </c>
      <c r="J22" s="242">
        <f t="shared" si="1"/>
        <v>0.8323076923076923</v>
      </c>
      <c r="K22" s="243"/>
      <c r="L22" s="38">
        <f t="shared" si="18"/>
        <v>1.201478743068392</v>
      </c>
      <c r="M22" s="242">
        <f t="shared" si="10"/>
        <v>3.14</v>
      </c>
      <c r="N22" s="243"/>
      <c r="O22" s="242">
        <f t="shared" si="2"/>
        <v>3.14</v>
      </c>
      <c r="P22" s="243"/>
      <c r="Q22" s="45">
        <f t="shared" si="3"/>
        <v>0</v>
      </c>
      <c r="R22" s="38">
        <f t="shared" si="4"/>
        <v>3.14</v>
      </c>
      <c r="S22" s="38">
        <f t="shared" si="11"/>
        <v>0.31847133757961782</v>
      </c>
      <c r="T22" s="38">
        <v>0</v>
      </c>
      <c r="U22" s="38">
        <v>0</v>
      </c>
      <c r="V22" s="242">
        <f t="shared" si="12"/>
        <v>3.9829108858242139E-2</v>
      </c>
      <c r="W22" s="243"/>
      <c r="X22" s="46"/>
      <c r="Y22" s="38">
        <f t="shared" si="13"/>
        <v>3.9829108858242139E-2</v>
      </c>
      <c r="Z22" s="38">
        <f t="shared" si="5"/>
        <v>0.35830044643785997</v>
      </c>
      <c r="AA22" s="38"/>
      <c r="AB22" s="100">
        <f t="shared" si="6"/>
        <v>2.8709538208555649</v>
      </c>
      <c r="AC22" s="100"/>
      <c r="AD22" s="39">
        <f t="shared" si="7"/>
        <v>2.9</v>
      </c>
      <c r="AL22" s="78">
        <f t="shared" si="14"/>
        <v>90</v>
      </c>
      <c r="AM22" s="52">
        <f t="shared" si="15"/>
        <v>2.8709538208555649</v>
      </c>
    </row>
    <row r="23" spans="1:39" ht="13.5" customHeight="1" x14ac:dyDescent="0.25">
      <c r="A23" s="23">
        <f t="shared" si="8"/>
        <v>100</v>
      </c>
      <c r="B23" s="242">
        <f t="shared" si="9"/>
        <v>3.3333333333333335</v>
      </c>
      <c r="C23" s="243"/>
      <c r="D23" s="242">
        <f t="shared" si="16"/>
        <v>0.76923076923076927</v>
      </c>
      <c r="E23" s="243"/>
      <c r="F23" s="242">
        <f t="shared" si="0"/>
        <v>3.4733333333333336</v>
      </c>
      <c r="G23" s="243"/>
      <c r="H23" s="46"/>
      <c r="I23" s="38">
        <f t="shared" si="17"/>
        <v>0.28790786948176583</v>
      </c>
      <c r="J23" s="242">
        <f t="shared" si="1"/>
        <v>0.90923076923076929</v>
      </c>
      <c r="K23" s="243"/>
      <c r="L23" s="38">
        <f t="shared" si="18"/>
        <v>1.0998307952622672</v>
      </c>
      <c r="M23" s="242">
        <f t="shared" si="10"/>
        <v>3.4733333333333332</v>
      </c>
      <c r="N23" s="243"/>
      <c r="O23" s="242">
        <f t="shared" si="2"/>
        <v>3.4733333333333336</v>
      </c>
      <c r="P23" s="243"/>
      <c r="Q23" s="45">
        <f t="shared" si="3"/>
        <v>0</v>
      </c>
      <c r="R23" s="38">
        <f t="shared" si="4"/>
        <v>3.4733333333333336</v>
      </c>
      <c r="S23" s="38">
        <f t="shared" si="11"/>
        <v>0.28790786948176583</v>
      </c>
      <c r="T23" s="38">
        <v>0</v>
      </c>
      <c r="U23" s="38">
        <v>0</v>
      </c>
      <c r="V23" s="242">
        <f t="shared" si="12"/>
        <v>3.6167996148216752E-2</v>
      </c>
      <c r="W23" s="243"/>
      <c r="X23" s="46"/>
      <c r="Y23" s="38">
        <f t="shared" si="13"/>
        <v>3.6167996148216752E-2</v>
      </c>
      <c r="Z23" s="38">
        <f t="shared" si="5"/>
        <v>0.32407586562998258</v>
      </c>
      <c r="AA23" s="38"/>
      <c r="AB23" s="100">
        <f t="shared" si="6"/>
        <v>3.1656972272713504</v>
      </c>
      <c r="AC23" s="100"/>
      <c r="AD23" s="39">
        <f t="shared" si="7"/>
        <v>3.2</v>
      </c>
      <c r="AL23" s="78">
        <f t="shared" si="14"/>
        <v>100</v>
      </c>
      <c r="AM23" s="52">
        <f t="shared" si="15"/>
        <v>3.1656972272713504</v>
      </c>
    </row>
    <row r="24" spans="1:39" ht="13.5" customHeight="1" x14ac:dyDescent="0.25">
      <c r="A24" s="23">
        <f t="shared" ref="A24:A35" si="19">+A23+10</f>
        <v>110</v>
      </c>
      <c r="B24" s="242">
        <f t="shared" si="9"/>
        <v>3.666666666666667</v>
      </c>
      <c r="C24" s="243"/>
      <c r="D24" s="242">
        <f t="shared" si="16"/>
        <v>0.84615384615384615</v>
      </c>
      <c r="E24" s="243"/>
      <c r="F24" s="242">
        <f t="shared" si="0"/>
        <v>3.8066666666666671</v>
      </c>
      <c r="G24" s="243"/>
      <c r="H24" s="46"/>
      <c r="I24" s="38">
        <f t="shared" si="17"/>
        <v>0.26269702276707529</v>
      </c>
      <c r="J24" s="242">
        <f t="shared" si="1"/>
        <v>0.98615384615384616</v>
      </c>
      <c r="K24" s="243"/>
      <c r="L24" s="38">
        <f t="shared" si="18"/>
        <v>1.0140405616224648</v>
      </c>
      <c r="M24" s="242">
        <f t="shared" si="10"/>
        <v>3.8066666666666666</v>
      </c>
      <c r="N24" s="243"/>
      <c r="O24" s="242">
        <f t="shared" si="2"/>
        <v>3.8066666666666671</v>
      </c>
      <c r="P24" s="243"/>
      <c r="Q24" s="45">
        <f t="shared" si="3"/>
        <v>0</v>
      </c>
      <c r="R24" s="38">
        <f t="shared" si="4"/>
        <v>3.8066666666666671</v>
      </c>
      <c r="S24" s="38">
        <f t="shared" si="11"/>
        <v>0.26269702276707529</v>
      </c>
      <c r="T24" s="38">
        <v>0</v>
      </c>
      <c r="U24" s="38">
        <v>0</v>
      </c>
      <c r="V24" s="242">
        <f t="shared" si="12"/>
        <v>3.3122290591413084E-2</v>
      </c>
      <c r="W24" s="243"/>
      <c r="X24" s="46"/>
      <c r="Y24" s="38">
        <f t="shared" si="13"/>
        <v>3.3122290591413084E-2</v>
      </c>
      <c r="Z24" s="38">
        <f t="shared" si="5"/>
        <v>0.29581931335848838</v>
      </c>
      <c r="AA24" s="38"/>
      <c r="AB24" s="100">
        <f t="shared" si="6"/>
        <v>3.4604418942320745</v>
      </c>
      <c r="AC24" s="100"/>
      <c r="AD24" s="39">
        <f t="shared" si="7"/>
        <v>3.5</v>
      </c>
      <c r="AL24" s="78">
        <f t="shared" si="14"/>
        <v>110</v>
      </c>
      <c r="AM24" s="52">
        <f t="shared" si="15"/>
        <v>3.4604418942320745</v>
      </c>
    </row>
    <row r="25" spans="1:39" ht="13.5" customHeight="1" x14ac:dyDescent="0.25">
      <c r="A25" s="23">
        <f t="shared" si="19"/>
        <v>120</v>
      </c>
      <c r="B25" s="242">
        <f t="shared" si="9"/>
        <v>4</v>
      </c>
      <c r="C25" s="243"/>
      <c r="D25" s="242">
        <f t="shared" si="16"/>
        <v>0.92307692307692302</v>
      </c>
      <c r="E25" s="243"/>
      <c r="F25" s="242">
        <f t="shared" si="0"/>
        <v>4.1399999999999997</v>
      </c>
      <c r="G25" s="243"/>
      <c r="H25" s="46"/>
      <c r="I25" s="38">
        <f t="shared" si="17"/>
        <v>0.24154589371980678</v>
      </c>
      <c r="J25" s="242">
        <f t="shared" si="1"/>
        <v>1.063076923076923</v>
      </c>
      <c r="K25" s="243"/>
      <c r="L25" s="38">
        <f t="shared" si="18"/>
        <v>0.94066570188133147</v>
      </c>
      <c r="M25" s="242">
        <f t="shared" si="10"/>
        <v>4.1399999999999997</v>
      </c>
      <c r="N25" s="243"/>
      <c r="O25" s="242">
        <f t="shared" si="2"/>
        <v>4.1399999999999997</v>
      </c>
      <c r="P25" s="243"/>
      <c r="Q25" s="45">
        <f t="shared" si="3"/>
        <v>0</v>
      </c>
      <c r="R25" s="38">
        <f t="shared" si="4"/>
        <v>4.1399999999999997</v>
      </c>
      <c r="S25" s="38">
        <f t="shared" si="11"/>
        <v>0.24154589371980678</v>
      </c>
      <c r="T25" s="38">
        <v>0</v>
      </c>
      <c r="U25" s="38">
        <v>0</v>
      </c>
      <c r="V25" s="242">
        <f t="shared" si="12"/>
        <v>3.0549066232484948E-2</v>
      </c>
      <c r="W25" s="243"/>
      <c r="X25" s="46"/>
      <c r="Y25" s="38">
        <f t="shared" si="13"/>
        <v>3.0549066232484948E-2</v>
      </c>
      <c r="Z25" s="38">
        <f t="shared" si="5"/>
        <v>0.27209495995229172</v>
      </c>
      <c r="AA25" s="38"/>
      <c r="AB25" s="100">
        <f t="shared" si="6"/>
        <v>3.7551875160618078</v>
      </c>
      <c r="AC25" s="100"/>
      <c r="AD25" s="39">
        <f t="shared" si="7"/>
        <v>3.8</v>
      </c>
      <c r="AL25" s="78">
        <f t="shared" si="14"/>
        <v>120</v>
      </c>
      <c r="AM25" s="52">
        <f t="shared" si="15"/>
        <v>3.7551875160618078</v>
      </c>
    </row>
    <row r="26" spans="1:39" ht="13.5" customHeight="1" x14ac:dyDescent="0.25">
      <c r="A26" s="23">
        <f t="shared" si="19"/>
        <v>130</v>
      </c>
      <c r="B26" s="242">
        <f t="shared" si="9"/>
        <v>4.3333333333333339</v>
      </c>
      <c r="C26" s="243"/>
      <c r="D26" s="242">
        <f t="shared" si="16"/>
        <v>1</v>
      </c>
      <c r="E26" s="243"/>
      <c r="F26" s="242">
        <f t="shared" si="0"/>
        <v>4.4733333333333336</v>
      </c>
      <c r="G26" s="243"/>
      <c r="H26" s="46"/>
      <c r="I26" s="38">
        <f t="shared" si="17"/>
        <v>0.22354694485842025</v>
      </c>
      <c r="J26" s="242">
        <f t="shared" si="1"/>
        <v>1.1400000000000001</v>
      </c>
      <c r="K26" s="243"/>
      <c r="L26" s="38">
        <f t="shared" si="18"/>
        <v>0.8771929824561403</v>
      </c>
      <c r="M26" s="242">
        <f t="shared" si="10"/>
        <v>4.4733333333333336</v>
      </c>
      <c r="N26" s="243"/>
      <c r="O26" s="242">
        <f t="shared" si="2"/>
        <v>4.4733333333333336</v>
      </c>
      <c r="P26" s="243"/>
      <c r="Q26" s="45">
        <f t="shared" si="3"/>
        <v>0</v>
      </c>
      <c r="R26" s="38">
        <f t="shared" si="4"/>
        <v>4.4733333333333336</v>
      </c>
      <c r="S26" s="38">
        <f t="shared" si="11"/>
        <v>0.22354694485842025</v>
      </c>
      <c r="T26" s="38">
        <v>0</v>
      </c>
      <c r="U26" s="38">
        <v>0</v>
      </c>
      <c r="V26" s="242">
        <f t="shared" si="12"/>
        <v>2.8346419262591672E-2</v>
      </c>
      <c r="W26" s="243"/>
      <c r="X26" s="46"/>
      <c r="Y26" s="38">
        <f t="shared" si="13"/>
        <v>2.8346419262591672E-2</v>
      </c>
      <c r="Z26" s="38">
        <f t="shared" si="5"/>
        <v>0.25189336412101193</v>
      </c>
      <c r="AA26" s="38"/>
      <c r="AB26" s="100">
        <f t="shared" si="6"/>
        <v>4.0499338785264332</v>
      </c>
      <c r="AC26" s="100"/>
      <c r="AD26" s="39">
        <f t="shared" si="7"/>
        <v>4</v>
      </c>
      <c r="AL26" s="78">
        <f t="shared" si="14"/>
        <v>130</v>
      </c>
      <c r="AM26" s="52">
        <f t="shared" si="15"/>
        <v>4.0499338785264332</v>
      </c>
    </row>
    <row r="27" spans="1:39" ht="13.5" customHeight="1" x14ac:dyDescent="0.25">
      <c r="A27" s="23">
        <f t="shared" si="19"/>
        <v>140</v>
      </c>
      <c r="B27" s="242">
        <f t="shared" si="9"/>
        <v>4.666666666666667</v>
      </c>
      <c r="C27" s="243"/>
      <c r="D27" s="242">
        <f t="shared" si="16"/>
        <v>1.0769230769230771</v>
      </c>
      <c r="E27" s="243"/>
      <c r="F27" s="242">
        <f t="shared" si="0"/>
        <v>4.8066666666666666</v>
      </c>
      <c r="G27" s="243"/>
      <c r="H27" s="46"/>
      <c r="I27" s="38">
        <f t="shared" si="17"/>
        <v>0.20804438280166435</v>
      </c>
      <c r="J27" s="242">
        <f t="shared" si="1"/>
        <v>1.2169230769230772</v>
      </c>
      <c r="K27" s="243"/>
      <c r="L27" s="38">
        <f t="shared" si="18"/>
        <v>0.82174462705436135</v>
      </c>
      <c r="M27" s="242">
        <f t="shared" si="10"/>
        <v>4.8066666666666666</v>
      </c>
      <c r="N27" s="243"/>
      <c r="O27" s="242">
        <f t="shared" si="2"/>
        <v>4.8066666666666666</v>
      </c>
      <c r="P27" s="243"/>
      <c r="Q27" s="45">
        <f t="shared" si="3"/>
        <v>0</v>
      </c>
      <c r="R27" s="38">
        <f t="shared" si="4"/>
        <v>4.8066666666666666</v>
      </c>
      <c r="S27" s="38">
        <f t="shared" si="11"/>
        <v>0.20804438280166435</v>
      </c>
      <c r="T27" s="38">
        <v>0</v>
      </c>
      <c r="U27" s="38">
        <v>0</v>
      </c>
      <c r="V27" s="242">
        <f t="shared" si="12"/>
        <v>2.6439753423557096E-2</v>
      </c>
      <c r="W27" s="243"/>
      <c r="X27" s="46"/>
      <c r="Y27" s="38">
        <f t="shared" si="13"/>
        <v>2.6439753423557096E-2</v>
      </c>
      <c r="Z27" s="38">
        <f t="shared" si="5"/>
        <v>0.23448413622522143</v>
      </c>
      <c r="AA27" s="38"/>
      <c r="AB27" s="100">
        <f t="shared" si="6"/>
        <v>4.344680827019797</v>
      </c>
      <c r="AC27" s="100"/>
      <c r="AD27" s="39">
        <f t="shared" si="7"/>
        <v>4.3</v>
      </c>
      <c r="AL27" s="78">
        <f t="shared" si="14"/>
        <v>140</v>
      </c>
      <c r="AM27" s="52">
        <f t="shared" si="15"/>
        <v>4.344680827019797</v>
      </c>
    </row>
    <row r="28" spans="1:39" ht="13.5" customHeight="1" x14ac:dyDescent="0.25">
      <c r="A28" s="23">
        <f t="shared" si="19"/>
        <v>150</v>
      </c>
      <c r="B28" s="242">
        <f t="shared" si="9"/>
        <v>5</v>
      </c>
      <c r="C28" s="243"/>
      <c r="D28" s="242">
        <f t="shared" si="16"/>
        <v>1.1538461538461537</v>
      </c>
      <c r="E28" s="243"/>
      <c r="F28" s="242">
        <f t="shared" si="0"/>
        <v>5.14</v>
      </c>
      <c r="G28" s="243"/>
      <c r="H28" s="46"/>
      <c r="I28" s="38">
        <f t="shared" si="17"/>
        <v>0.19455252918287938</v>
      </c>
      <c r="J28" s="242">
        <f t="shared" si="1"/>
        <v>1.2938461538461539</v>
      </c>
      <c r="K28" s="243"/>
      <c r="L28" s="38">
        <f t="shared" si="18"/>
        <v>0.77288941736028538</v>
      </c>
      <c r="M28" s="242">
        <f t="shared" si="10"/>
        <v>5.14</v>
      </c>
      <c r="N28" s="243"/>
      <c r="O28" s="242">
        <f t="shared" si="2"/>
        <v>5.14</v>
      </c>
      <c r="P28" s="243"/>
      <c r="Q28" s="45">
        <f t="shared" si="3"/>
        <v>0</v>
      </c>
      <c r="R28" s="38">
        <f t="shared" si="4"/>
        <v>5.14</v>
      </c>
      <c r="S28" s="38">
        <f t="shared" si="11"/>
        <v>0.19455252918287938</v>
      </c>
      <c r="T28" s="38">
        <v>0</v>
      </c>
      <c r="U28" s="38">
        <v>0</v>
      </c>
      <c r="V28" s="242">
        <f t="shared" si="12"/>
        <v>2.4773216456641045E-2</v>
      </c>
      <c r="W28" s="243"/>
      <c r="X28" s="46"/>
      <c r="Y28" s="38">
        <f t="shared" si="13"/>
        <v>2.4773216456641045E-2</v>
      </c>
      <c r="Z28" s="38">
        <f t="shared" si="5"/>
        <v>0.21932574563952043</v>
      </c>
      <c r="AA28" s="38"/>
      <c r="AB28" s="100">
        <f t="shared" si="6"/>
        <v>4.63942824716794</v>
      </c>
      <c r="AC28" s="100"/>
      <c r="AD28" s="39">
        <f t="shared" si="7"/>
        <v>4.5999999999999996</v>
      </c>
      <c r="AL28" s="78">
        <f t="shared" si="14"/>
        <v>150</v>
      </c>
      <c r="AM28" s="52">
        <f t="shared" si="15"/>
        <v>4.63942824716794</v>
      </c>
    </row>
    <row r="29" spans="1:39" ht="13.5" customHeight="1" x14ac:dyDescent="0.25">
      <c r="A29" s="23">
        <f>+A28+10</f>
        <v>160</v>
      </c>
      <c r="B29" s="242">
        <f t="shared" si="9"/>
        <v>5.3333333333333339</v>
      </c>
      <c r="C29" s="243"/>
      <c r="D29" s="242">
        <f t="shared" si="16"/>
        <v>1.2307692307692308</v>
      </c>
      <c r="E29" s="243"/>
      <c r="F29" s="242">
        <f t="shared" si="0"/>
        <v>5.4733333333333336</v>
      </c>
      <c r="G29" s="243"/>
      <c r="H29" s="46"/>
      <c r="I29" s="38">
        <f t="shared" si="17"/>
        <v>0.18270401948842874</v>
      </c>
      <c r="J29" s="242">
        <f t="shared" si="1"/>
        <v>1.370769230769231</v>
      </c>
      <c r="K29" s="243"/>
      <c r="L29" s="38">
        <f t="shared" si="18"/>
        <v>0.72951739618406275</v>
      </c>
      <c r="M29" s="242">
        <f t="shared" si="10"/>
        <v>5.4733333333333336</v>
      </c>
      <c r="N29" s="243"/>
      <c r="O29" s="242">
        <f t="shared" si="2"/>
        <v>5.4733333333333336</v>
      </c>
      <c r="P29" s="243"/>
      <c r="Q29" s="45">
        <f t="shared" si="3"/>
        <v>0</v>
      </c>
      <c r="R29" s="38">
        <f t="shared" si="4"/>
        <v>5.4733333333333336</v>
      </c>
      <c r="S29" s="38">
        <f t="shared" si="11"/>
        <v>0.18270401948842874</v>
      </c>
      <c r="T29" s="38">
        <v>0</v>
      </c>
      <c r="U29" s="38">
        <v>0</v>
      </c>
      <c r="V29" s="242">
        <f t="shared" si="12"/>
        <v>2.3304165871139836E-2</v>
      </c>
      <c r="W29" s="243"/>
      <c r="X29" s="46"/>
      <c r="Y29" s="38">
        <f t="shared" si="13"/>
        <v>2.3304165871139836E-2</v>
      </c>
      <c r="Z29" s="38">
        <f t="shared" si="5"/>
        <v>0.20600818535956858</v>
      </c>
      <c r="AA29" s="38"/>
      <c r="AB29" s="100">
        <f t="shared" si="6"/>
        <v>4.9341760525417513</v>
      </c>
      <c r="AC29" s="100"/>
      <c r="AD29" s="39">
        <f t="shared" si="7"/>
        <v>4.9000000000000004</v>
      </c>
      <c r="AL29" s="78">
        <f t="shared" si="14"/>
        <v>160</v>
      </c>
      <c r="AM29" s="52">
        <f t="shared" si="15"/>
        <v>4.9341760525417513</v>
      </c>
    </row>
    <row r="30" spans="1:39" ht="13.5" customHeight="1" x14ac:dyDescent="0.25">
      <c r="A30" s="23">
        <f t="shared" si="19"/>
        <v>170</v>
      </c>
      <c r="B30" s="242">
        <f t="shared" si="9"/>
        <v>5.666666666666667</v>
      </c>
      <c r="C30" s="243"/>
      <c r="D30" s="242">
        <f t="shared" si="16"/>
        <v>1.3076923076923077</v>
      </c>
      <c r="E30" s="243"/>
      <c r="F30" s="242">
        <f t="shared" si="0"/>
        <v>5.8066666666666666</v>
      </c>
      <c r="G30" s="243"/>
      <c r="H30" s="46"/>
      <c r="I30" s="38">
        <f t="shared" si="17"/>
        <v>0.17221584385763491</v>
      </c>
      <c r="J30" s="242">
        <f t="shared" si="1"/>
        <v>1.4476923076923078</v>
      </c>
      <c r="K30" s="243"/>
      <c r="L30" s="38">
        <f t="shared" si="18"/>
        <v>0.69075451647183839</v>
      </c>
      <c r="M30" s="242">
        <f t="shared" si="10"/>
        <v>5.8066666666666666</v>
      </c>
      <c r="N30" s="243"/>
      <c r="O30" s="242">
        <f t="shared" si="2"/>
        <v>5.8066666666666666</v>
      </c>
      <c r="P30" s="243"/>
      <c r="Q30" s="45">
        <f t="shared" si="3"/>
        <v>0</v>
      </c>
      <c r="R30" s="38">
        <f t="shared" si="4"/>
        <v>5.8066666666666666</v>
      </c>
      <c r="S30" s="38">
        <f t="shared" si="11"/>
        <v>0.17221584385763491</v>
      </c>
      <c r="T30" s="38">
        <v>0</v>
      </c>
      <c r="U30" s="38">
        <v>0</v>
      </c>
      <c r="V30" s="242">
        <f t="shared" si="12"/>
        <v>2.1999484568057587E-2</v>
      </c>
      <c r="W30" s="243"/>
      <c r="X30" s="46"/>
      <c r="Y30" s="38">
        <f t="shared" si="13"/>
        <v>2.1999484568057587E-2</v>
      </c>
      <c r="Z30" s="38">
        <f t="shared" si="5"/>
        <v>0.1942153284256925</v>
      </c>
      <c r="AA30" s="38"/>
      <c r="AB30" s="100">
        <f t="shared" si="6"/>
        <v>5.2289241766136065</v>
      </c>
      <c r="AC30" s="100"/>
      <c r="AD30" s="39">
        <f t="shared" si="7"/>
        <v>5.2</v>
      </c>
      <c r="AL30" s="78">
        <f t="shared" si="14"/>
        <v>170</v>
      </c>
      <c r="AM30" s="52">
        <f t="shared" si="15"/>
        <v>5.2289241766136065</v>
      </c>
    </row>
    <row r="31" spans="1:39" ht="13.5" customHeight="1" x14ac:dyDescent="0.25">
      <c r="A31" s="23">
        <f t="shared" si="19"/>
        <v>180</v>
      </c>
      <c r="B31" s="242">
        <f t="shared" si="9"/>
        <v>6</v>
      </c>
      <c r="C31" s="243"/>
      <c r="D31" s="242">
        <f t="shared" si="16"/>
        <v>1.3846153846153846</v>
      </c>
      <c r="E31" s="243"/>
      <c r="F31" s="242">
        <f t="shared" si="0"/>
        <v>6.14</v>
      </c>
      <c r="G31" s="243"/>
      <c r="H31" s="46"/>
      <c r="I31" s="38">
        <f t="shared" si="17"/>
        <v>0.16286644951140067</v>
      </c>
      <c r="J31" s="242">
        <f t="shared" si="1"/>
        <v>1.5246153846153847</v>
      </c>
      <c r="K31" s="243"/>
      <c r="L31" s="38">
        <f t="shared" si="18"/>
        <v>0.65590312815338037</v>
      </c>
      <c r="M31" s="242">
        <f t="shared" si="10"/>
        <v>6.14</v>
      </c>
      <c r="N31" s="243"/>
      <c r="O31" s="242">
        <f t="shared" si="2"/>
        <v>6.14</v>
      </c>
      <c r="P31" s="243"/>
      <c r="Q31" s="45">
        <f t="shared" si="3"/>
        <v>0</v>
      </c>
      <c r="R31" s="38">
        <f t="shared" si="4"/>
        <v>6.14</v>
      </c>
      <c r="S31" s="38">
        <f t="shared" si="11"/>
        <v>0.16286644951140067</v>
      </c>
      <c r="T31" s="38">
        <v>0</v>
      </c>
      <c r="U31" s="38">
        <v>0</v>
      </c>
      <c r="V31" s="242">
        <f t="shared" si="12"/>
        <v>2.0833063570898591E-2</v>
      </c>
      <c r="W31" s="243"/>
      <c r="X31" s="46"/>
      <c r="Y31" s="38">
        <f t="shared" si="13"/>
        <v>2.0833063570898591E-2</v>
      </c>
      <c r="Z31" s="38">
        <f t="shared" si="5"/>
        <v>0.18369951308229926</v>
      </c>
      <c r="AA31" s="38"/>
      <c r="AB31" s="100">
        <f t="shared" si="6"/>
        <v>5.5236725673409364</v>
      </c>
      <c r="AC31" s="100"/>
      <c r="AD31" s="39">
        <f t="shared" si="7"/>
        <v>5.5</v>
      </c>
      <c r="AL31" s="78">
        <f t="shared" si="14"/>
        <v>180</v>
      </c>
      <c r="AM31" s="52">
        <f t="shared" si="15"/>
        <v>5.5236725673409364</v>
      </c>
    </row>
    <row r="32" spans="1:39" ht="13.5" customHeight="1" x14ac:dyDescent="0.25">
      <c r="A32" s="23">
        <f t="shared" si="19"/>
        <v>190</v>
      </c>
      <c r="B32" s="242">
        <f t="shared" si="9"/>
        <v>6.3333333333333339</v>
      </c>
      <c r="C32" s="243"/>
      <c r="D32" s="242">
        <f t="shared" si="16"/>
        <v>1.4615384615384615</v>
      </c>
      <c r="E32" s="243"/>
      <c r="F32" s="242">
        <f t="shared" si="0"/>
        <v>6.4733333333333336</v>
      </c>
      <c r="G32" s="243"/>
      <c r="H32" s="46"/>
      <c r="I32" s="38">
        <f t="shared" si="17"/>
        <v>0.15447991761071059</v>
      </c>
      <c r="J32" s="242">
        <f t="shared" si="1"/>
        <v>1.6015384615384616</v>
      </c>
      <c r="K32" s="243"/>
      <c r="L32" s="38">
        <f t="shared" si="18"/>
        <v>0.62439961575408265</v>
      </c>
      <c r="M32" s="242">
        <f t="shared" si="10"/>
        <v>6.4733333333333345</v>
      </c>
      <c r="N32" s="243"/>
      <c r="O32" s="242">
        <f t="shared" si="2"/>
        <v>6.4733333333333336</v>
      </c>
      <c r="P32" s="243"/>
      <c r="Q32" s="45">
        <f t="shared" si="3"/>
        <v>0</v>
      </c>
      <c r="R32" s="38">
        <f t="shared" si="4"/>
        <v>6.4733333333333336</v>
      </c>
      <c r="S32" s="38">
        <f t="shared" si="11"/>
        <v>0.15447991761071059</v>
      </c>
      <c r="T32" s="38">
        <v>0</v>
      </c>
      <c r="U32" s="38">
        <v>0</v>
      </c>
      <c r="V32" s="242">
        <f t="shared" si="12"/>
        <v>1.9784042463882462E-2</v>
      </c>
      <c r="W32" s="243"/>
      <c r="X32" s="46"/>
      <c r="Y32" s="38">
        <f t="shared" si="13"/>
        <v>1.9784042463882462E-2</v>
      </c>
      <c r="Z32" s="38">
        <f t="shared" si="5"/>
        <v>0.17426396007459305</v>
      </c>
      <c r="AA32" s="38"/>
      <c r="AB32" s="100">
        <f t="shared" si="6"/>
        <v>5.8184211834274491</v>
      </c>
      <c r="AC32" s="100"/>
      <c r="AD32" s="39">
        <f t="shared" si="7"/>
        <v>5.8</v>
      </c>
      <c r="AL32" s="78">
        <f t="shared" si="14"/>
        <v>190</v>
      </c>
      <c r="AM32" s="52">
        <f t="shared" si="15"/>
        <v>5.8184211834274491</v>
      </c>
    </row>
    <row r="33" spans="1:39" ht="13.5" customHeight="1" x14ac:dyDescent="0.25">
      <c r="A33" s="23">
        <f t="shared" si="19"/>
        <v>200</v>
      </c>
      <c r="B33" s="242">
        <f t="shared" si="9"/>
        <v>6.666666666666667</v>
      </c>
      <c r="C33" s="243"/>
      <c r="D33" s="242">
        <f t="shared" si="16"/>
        <v>1.5384615384615385</v>
      </c>
      <c r="E33" s="243"/>
      <c r="F33" s="242">
        <f t="shared" si="0"/>
        <v>6.8066666666666666</v>
      </c>
      <c r="G33" s="243"/>
      <c r="H33" s="46"/>
      <c r="I33" s="38">
        <f t="shared" si="17"/>
        <v>0.14691478942213515</v>
      </c>
      <c r="J33" s="242">
        <f t="shared" si="1"/>
        <v>1.6784615384615387</v>
      </c>
      <c r="K33" s="243"/>
      <c r="L33" s="38">
        <f t="shared" si="18"/>
        <v>0.59578368469294218</v>
      </c>
      <c r="M33" s="242">
        <f t="shared" si="10"/>
        <v>6.8066666666666675</v>
      </c>
      <c r="N33" s="243"/>
      <c r="O33" s="242">
        <f t="shared" si="2"/>
        <v>6.8066666666666666</v>
      </c>
      <c r="P33" s="243"/>
      <c r="Q33" s="45">
        <f t="shared" si="3"/>
        <v>0</v>
      </c>
      <c r="R33" s="38">
        <f t="shared" si="4"/>
        <v>6.8066666666666666</v>
      </c>
      <c r="S33" s="38">
        <f t="shared" si="11"/>
        <v>0.14691478942213515</v>
      </c>
      <c r="T33" s="38">
        <v>0</v>
      </c>
      <c r="U33" s="38">
        <v>0</v>
      </c>
      <c r="V33" s="242">
        <f t="shared" si="12"/>
        <v>1.8835554323876562E-2</v>
      </c>
      <c r="W33" s="243"/>
      <c r="X33" s="46"/>
      <c r="Y33" s="38">
        <f t="shared" si="13"/>
        <v>1.8835554323876562E-2</v>
      </c>
      <c r="Z33" s="38">
        <f t="shared" si="5"/>
        <v>0.16575034374601172</v>
      </c>
      <c r="AA33" s="38"/>
      <c r="AB33" s="100">
        <f t="shared" si="6"/>
        <v>6.1131699916855347</v>
      </c>
      <c r="AC33" s="100"/>
      <c r="AD33" s="39">
        <f t="shared" si="7"/>
        <v>6.1</v>
      </c>
      <c r="AL33" s="78">
        <f t="shared" si="14"/>
        <v>200</v>
      </c>
      <c r="AM33" s="52">
        <f t="shared" si="15"/>
        <v>6.1131699916855347</v>
      </c>
    </row>
    <row r="34" spans="1:39" ht="13.5" customHeight="1" x14ac:dyDescent="0.25">
      <c r="A34" s="23">
        <f t="shared" si="19"/>
        <v>210</v>
      </c>
      <c r="B34" s="242">
        <f t="shared" si="9"/>
        <v>7</v>
      </c>
      <c r="C34" s="243"/>
      <c r="D34" s="242">
        <f t="shared" si="16"/>
        <v>1.6153846153846152</v>
      </c>
      <c r="E34" s="243"/>
      <c r="F34" s="242">
        <f t="shared" si="0"/>
        <v>7.14</v>
      </c>
      <c r="G34" s="243"/>
      <c r="H34" s="46"/>
      <c r="I34" s="38">
        <f t="shared" si="17"/>
        <v>0.14005602240896359</v>
      </c>
      <c r="J34" s="242">
        <f t="shared" si="1"/>
        <v>1.7553846153846153</v>
      </c>
      <c r="K34" s="243"/>
      <c r="L34" s="38">
        <f t="shared" si="18"/>
        <v>0.56967572304995617</v>
      </c>
      <c r="M34" s="242">
        <f t="shared" si="10"/>
        <v>7.14</v>
      </c>
      <c r="N34" s="243"/>
      <c r="O34" s="242">
        <f t="shared" si="2"/>
        <v>7.14</v>
      </c>
      <c r="P34" s="243"/>
      <c r="Q34" s="45">
        <f t="shared" si="3"/>
        <v>0</v>
      </c>
      <c r="R34" s="38">
        <f t="shared" si="4"/>
        <v>7.14</v>
      </c>
      <c r="S34" s="38">
        <f t="shared" si="11"/>
        <v>0.14005602240896359</v>
      </c>
      <c r="T34" s="38">
        <v>0</v>
      </c>
      <c r="U34" s="38">
        <v>0</v>
      </c>
      <c r="V34" s="242">
        <f t="shared" si="12"/>
        <v>1.7973814178554228E-2</v>
      </c>
      <c r="W34" s="243"/>
      <c r="X34" s="46"/>
      <c r="Y34" s="38">
        <f t="shared" si="13"/>
        <v>1.7973814178554228E-2</v>
      </c>
      <c r="Z34" s="38">
        <f t="shared" si="5"/>
        <v>0.15802983658751782</v>
      </c>
      <c r="AA34" s="38"/>
      <c r="AB34" s="100">
        <f t="shared" si="6"/>
        <v>6.4079189651391832</v>
      </c>
      <c r="AC34" s="100"/>
      <c r="AD34" s="39">
        <f t="shared" si="7"/>
        <v>6.4</v>
      </c>
      <c r="AL34" s="78">
        <f t="shared" si="14"/>
        <v>210</v>
      </c>
      <c r="AM34" s="52">
        <f t="shared" si="15"/>
        <v>6.4079189651391832</v>
      </c>
    </row>
    <row r="35" spans="1:39" ht="13.5" customHeight="1" x14ac:dyDescent="0.25">
      <c r="A35" s="41">
        <f t="shared" si="19"/>
        <v>220</v>
      </c>
      <c r="B35" s="244">
        <f t="shared" si="9"/>
        <v>7.3333333333333339</v>
      </c>
      <c r="C35" s="245"/>
      <c r="D35" s="244">
        <f t="shared" si="16"/>
        <v>1.6923076923076923</v>
      </c>
      <c r="E35" s="245"/>
      <c r="F35" s="242">
        <f t="shared" si="0"/>
        <v>7.4733333333333336</v>
      </c>
      <c r="G35" s="243"/>
      <c r="H35" s="47"/>
      <c r="I35" s="48">
        <f t="shared" si="17"/>
        <v>0.13380909901873328</v>
      </c>
      <c r="J35" s="242">
        <f t="shared" si="1"/>
        <v>1.8323076923076924</v>
      </c>
      <c r="K35" s="243"/>
      <c r="L35" s="48">
        <f t="shared" si="18"/>
        <v>0.54575986565910994</v>
      </c>
      <c r="M35" s="244">
        <f t="shared" si="10"/>
        <v>7.4733333333333327</v>
      </c>
      <c r="N35" s="245"/>
      <c r="O35" s="242">
        <f t="shared" si="2"/>
        <v>7.4733333333333336</v>
      </c>
      <c r="P35" s="243"/>
      <c r="Q35" s="45">
        <f t="shared" si="3"/>
        <v>0</v>
      </c>
      <c r="R35" s="38">
        <f t="shared" si="4"/>
        <v>7.4733333333333336</v>
      </c>
      <c r="S35" s="48">
        <f t="shared" si="11"/>
        <v>0.13380909901873328</v>
      </c>
      <c r="T35" s="48">
        <v>0</v>
      </c>
      <c r="U35" s="48">
        <v>0</v>
      </c>
      <c r="V35" s="244">
        <f t="shared" si="12"/>
        <v>1.7187446130939411E-2</v>
      </c>
      <c r="W35" s="245"/>
      <c r="X35" s="47"/>
      <c r="Y35" s="48">
        <f t="shared" si="13"/>
        <v>1.7187446130939411E-2</v>
      </c>
      <c r="Z35" s="48">
        <f t="shared" si="5"/>
        <v>0.1509965451496727</v>
      </c>
      <c r="AA35" s="38"/>
      <c r="AB35" s="100">
        <f t="shared" si="6"/>
        <v>6.7026680816356921</v>
      </c>
      <c r="AC35" s="100"/>
      <c r="AD35" s="39">
        <f t="shared" si="7"/>
        <v>6.7</v>
      </c>
      <c r="AL35" s="78">
        <f t="shared" si="14"/>
        <v>220</v>
      </c>
      <c r="AM35" s="52">
        <f t="shared" si="15"/>
        <v>6.7026680816356921</v>
      </c>
    </row>
    <row r="36" spans="1:39" x14ac:dyDescent="0.25">
      <c r="A36" s="246" t="s">
        <v>71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9"/>
    </row>
    <row r="37" spans="1:39" x14ac:dyDescent="0.25">
      <c r="A37" s="247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1"/>
    </row>
    <row r="38" spans="1:39" x14ac:dyDescent="0.25">
      <c r="A38" s="247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1"/>
    </row>
  </sheetData>
  <sheetProtection selectLockedCells="1"/>
  <mergeCells count="204">
    <mergeCell ref="V35:W35"/>
    <mergeCell ref="A36:A38"/>
    <mergeCell ref="B36:AD38"/>
    <mergeCell ref="B35:C35"/>
    <mergeCell ref="D35:E35"/>
    <mergeCell ref="F35:G35"/>
    <mergeCell ref="J35:K35"/>
    <mergeCell ref="M35:N35"/>
    <mergeCell ref="O35:P35"/>
    <mergeCell ref="V33:W33"/>
    <mergeCell ref="B34:C34"/>
    <mergeCell ref="D34:E34"/>
    <mergeCell ref="F34:G34"/>
    <mergeCell ref="J34:K34"/>
    <mergeCell ref="M34:N34"/>
    <mergeCell ref="O34:P34"/>
    <mergeCell ref="V34:W34"/>
    <mergeCell ref="B33:C33"/>
    <mergeCell ref="D33:E33"/>
    <mergeCell ref="F33:G33"/>
    <mergeCell ref="J33:K33"/>
    <mergeCell ref="M33:N33"/>
    <mergeCell ref="O33:P33"/>
    <mergeCell ref="V31:W31"/>
    <mergeCell ref="B32:C32"/>
    <mergeCell ref="D32:E32"/>
    <mergeCell ref="F32:G32"/>
    <mergeCell ref="J32:K32"/>
    <mergeCell ref="M32:N32"/>
    <mergeCell ref="O32:P32"/>
    <mergeCell ref="V32:W32"/>
    <mergeCell ref="B31:C31"/>
    <mergeCell ref="D31:E31"/>
    <mergeCell ref="F31:G31"/>
    <mergeCell ref="J31:K31"/>
    <mergeCell ref="M31:N31"/>
    <mergeCell ref="O31:P31"/>
    <mergeCell ref="V29:W29"/>
    <mergeCell ref="B30:C30"/>
    <mergeCell ref="D30:E30"/>
    <mergeCell ref="F30:G30"/>
    <mergeCell ref="J30:K30"/>
    <mergeCell ref="M30:N30"/>
    <mergeCell ref="O30:P30"/>
    <mergeCell ref="V30:W30"/>
    <mergeCell ref="B29:C29"/>
    <mergeCell ref="D29:E29"/>
    <mergeCell ref="F29:G29"/>
    <mergeCell ref="J29:K29"/>
    <mergeCell ref="M29:N29"/>
    <mergeCell ref="O29:P29"/>
    <mergeCell ref="V27:W27"/>
    <mergeCell ref="B28:C28"/>
    <mergeCell ref="D28:E28"/>
    <mergeCell ref="F28:G28"/>
    <mergeCell ref="J28:K28"/>
    <mergeCell ref="M28:N28"/>
    <mergeCell ref="O28:P28"/>
    <mergeCell ref="V28:W28"/>
    <mergeCell ref="B27:C27"/>
    <mergeCell ref="D27:E27"/>
    <mergeCell ref="F27:G27"/>
    <mergeCell ref="J27:K27"/>
    <mergeCell ref="M27:N27"/>
    <mergeCell ref="O27:P27"/>
    <mergeCell ref="V25:W25"/>
    <mergeCell ref="B26:C26"/>
    <mergeCell ref="D26:E26"/>
    <mergeCell ref="F26:G26"/>
    <mergeCell ref="J26:K26"/>
    <mergeCell ref="M26:N26"/>
    <mergeCell ref="O26:P26"/>
    <mergeCell ref="V26:W26"/>
    <mergeCell ref="B25:C25"/>
    <mergeCell ref="D25:E25"/>
    <mergeCell ref="F25:G25"/>
    <mergeCell ref="J25:K25"/>
    <mergeCell ref="M25:N25"/>
    <mergeCell ref="O25:P25"/>
    <mergeCell ref="V23:W23"/>
    <mergeCell ref="B24:C24"/>
    <mergeCell ref="D24:E24"/>
    <mergeCell ref="F24:G24"/>
    <mergeCell ref="J24:K24"/>
    <mergeCell ref="M24:N24"/>
    <mergeCell ref="O24:P24"/>
    <mergeCell ref="V24:W24"/>
    <mergeCell ref="B23:C23"/>
    <mergeCell ref="D23:E23"/>
    <mergeCell ref="F23:G23"/>
    <mergeCell ref="J23:K23"/>
    <mergeCell ref="M23:N23"/>
    <mergeCell ref="O23:P23"/>
    <mergeCell ref="V21:W21"/>
    <mergeCell ref="B22:C22"/>
    <mergeCell ref="D22:E22"/>
    <mergeCell ref="F22:G22"/>
    <mergeCell ref="J22:K22"/>
    <mergeCell ref="M22:N22"/>
    <mergeCell ref="O22:P22"/>
    <mergeCell ref="V22:W22"/>
    <mergeCell ref="B21:C21"/>
    <mergeCell ref="D21:E21"/>
    <mergeCell ref="F21:G21"/>
    <mergeCell ref="J21:K21"/>
    <mergeCell ref="M21:N21"/>
    <mergeCell ref="O21:P21"/>
    <mergeCell ref="V19:W19"/>
    <mergeCell ref="B20:C20"/>
    <mergeCell ref="D20:E20"/>
    <mergeCell ref="F20:G20"/>
    <mergeCell ref="J20:K20"/>
    <mergeCell ref="M20:N20"/>
    <mergeCell ref="O20:P20"/>
    <mergeCell ref="V20:W20"/>
    <mergeCell ref="B19:C19"/>
    <mergeCell ref="D19:E19"/>
    <mergeCell ref="F19:G19"/>
    <mergeCell ref="J19:K19"/>
    <mergeCell ref="M19:N19"/>
    <mergeCell ref="O19:P19"/>
    <mergeCell ref="V17:W17"/>
    <mergeCell ref="B18:C18"/>
    <mergeCell ref="D18:E18"/>
    <mergeCell ref="F18:G18"/>
    <mergeCell ref="J18:K18"/>
    <mergeCell ref="M18:N18"/>
    <mergeCell ref="O18:P18"/>
    <mergeCell ref="V18:W18"/>
    <mergeCell ref="B17:C17"/>
    <mergeCell ref="D17:E17"/>
    <mergeCell ref="F17:G17"/>
    <mergeCell ref="J17:K17"/>
    <mergeCell ref="M17:N17"/>
    <mergeCell ref="O17:P17"/>
    <mergeCell ref="Z13:Z16"/>
    <mergeCell ref="AD13:AD16"/>
    <mergeCell ref="B14:C16"/>
    <mergeCell ref="D14:E16"/>
    <mergeCell ref="M15:N16"/>
    <mergeCell ref="Q15:Q16"/>
    <mergeCell ref="R15:R16"/>
    <mergeCell ref="S15:S16"/>
    <mergeCell ref="G16:H16"/>
    <mergeCell ref="Z8:Z12"/>
    <mergeCell ref="AA8:AC12"/>
    <mergeCell ref="AD8:AD12"/>
    <mergeCell ref="M12:M14"/>
    <mergeCell ref="N12:N14"/>
    <mergeCell ref="I13:I16"/>
    <mergeCell ref="J13:K15"/>
    <mergeCell ref="L13:L16"/>
    <mergeCell ref="O13:P13"/>
    <mergeCell ref="T13:T16"/>
    <mergeCell ref="S8:S14"/>
    <mergeCell ref="T8:T12"/>
    <mergeCell ref="U8:U12"/>
    <mergeCell ref="V8:W13"/>
    <mergeCell ref="X8:X13"/>
    <mergeCell ref="Y8:Y12"/>
    <mergeCell ref="U13:U16"/>
    <mergeCell ref="Y13:Y16"/>
    <mergeCell ref="L8:L12"/>
    <mergeCell ref="M8:M11"/>
    <mergeCell ref="N8:N11"/>
    <mergeCell ref="O8:P12"/>
    <mergeCell ref="Q8:Q14"/>
    <mergeCell ref="R8:R14"/>
    <mergeCell ref="V6:X6"/>
    <mergeCell ref="AA6:AC6"/>
    <mergeCell ref="B7:C7"/>
    <mergeCell ref="F7:H7"/>
    <mergeCell ref="J7:K7"/>
    <mergeCell ref="M7:N7"/>
    <mergeCell ref="O7:P7"/>
    <mergeCell ref="V7:X7"/>
    <mergeCell ref="AA7:AC7"/>
    <mergeCell ref="B6:C6"/>
    <mergeCell ref="D6:E6"/>
    <mergeCell ref="F6:H6"/>
    <mergeCell ref="J6:K6"/>
    <mergeCell ref="M6:N6"/>
    <mergeCell ref="A8:A16"/>
    <mergeCell ref="B8:C12"/>
    <mergeCell ref="D8:E12"/>
    <mergeCell ref="F8:H12"/>
    <mergeCell ref="I8:I12"/>
    <mergeCell ref="J8:K12"/>
    <mergeCell ref="A1:G1"/>
    <mergeCell ref="I1:P2"/>
    <mergeCell ref="Q1:R2"/>
    <mergeCell ref="O6:P6"/>
    <mergeCell ref="S1:AD2"/>
    <mergeCell ref="F2:G2"/>
    <mergeCell ref="A3:G3"/>
    <mergeCell ref="H3:K3"/>
    <mergeCell ref="M3:R3"/>
    <mergeCell ref="S3:AD5"/>
    <mergeCell ref="A4:G4"/>
    <mergeCell ref="H4:K4"/>
    <mergeCell ref="M4:R4"/>
    <mergeCell ref="A5:I5"/>
    <mergeCell ref="J5:K5"/>
    <mergeCell ref="M5:R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Drop Down 1">
              <controlPr defaultSize="0" autoLine="0" autoPict="0">
                <anchor moveWithCells="1" sizeWithCells="1">
                  <from>
                    <xdr:col>3</xdr:col>
                    <xdr:colOff>9525</xdr:colOff>
                    <xdr:row>0</xdr:row>
                    <xdr:rowOff>0</xdr:rowOff>
                  </from>
                  <to>
                    <xdr:col>7</xdr:col>
                    <xdr:colOff>552450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Drop Down 2">
              <controlPr defaultSize="0" autoLine="0" autoPict="0">
                <anchor moveWithCells="1" sizeWithCells="1">
                  <from>
                    <xdr:col>3</xdr:col>
                    <xdr:colOff>9525</xdr:colOff>
                    <xdr:row>2</xdr:row>
                    <xdr:rowOff>0</xdr:rowOff>
                  </from>
                  <to>
                    <xdr:col>7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Drop Down 3">
              <controlPr defaultSize="0" autoLine="0" autoPict="0">
                <anchor moveWithCells="1" sizeWithCells="1">
                  <from>
                    <xdr:col>8</xdr:col>
                    <xdr:colOff>133350</xdr:colOff>
                    <xdr:row>3</xdr:row>
                    <xdr:rowOff>219075</xdr:rowOff>
                  </from>
                  <to>
                    <xdr:col>9</xdr:col>
                    <xdr:colOff>19050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841B0-FB56-4E85-A602-2BB0D7D41395}">
  <dimension ref="A1:AP38"/>
  <sheetViews>
    <sheetView zoomScaleNormal="100" workbookViewId="0">
      <selection activeCell="O24" sqref="O24:P24"/>
    </sheetView>
  </sheetViews>
  <sheetFormatPr defaultColWidth="8.7109375" defaultRowHeight="15" x14ac:dyDescent="0.25"/>
  <cols>
    <col min="1" max="1" width="4.5703125" style="23" customWidth="1"/>
    <col min="2" max="2" width="4.140625" style="23" customWidth="1"/>
    <col min="3" max="3" width="9.140625" style="23" customWidth="1"/>
    <col min="4" max="4" width="4.42578125" style="23" customWidth="1"/>
    <col min="5" max="5" width="7.85546875" style="23" customWidth="1"/>
    <col min="6" max="6" width="4.140625" style="23" customWidth="1"/>
    <col min="7" max="7" width="4.42578125" style="23" customWidth="1"/>
    <col min="8" max="8" width="8.28515625" style="23" bestFit="1" customWidth="1"/>
    <col min="9" max="9" width="8.7109375" style="23"/>
    <col min="10" max="10" width="4.140625" style="23" customWidth="1"/>
    <col min="11" max="11" width="8.42578125" style="23" customWidth="1"/>
    <col min="12" max="12" width="7.7109375" style="23" customWidth="1"/>
    <col min="13" max="13" width="9.140625" style="23" customWidth="1"/>
    <col min="14" max="14" width="3.85546875" style="23" customWidth="1"/>
    <col min="15" max="15" width="7.140625" style="23" customWidth="1"/>
    <col min="16" max="16" width="4.5703125" style="23" customWidth="1"/>
    <col min="17" max="17" width="8.140625" style="23" customWidth="1"/>
    <col min="18" max="18" width="8.7109375" style="23"/>
    <col min="19" max="21" width="7" style="23" customWidth="1"/>
    <col min="22" max="22" width="4.140625" style="23" customWidth="1"/>
    <col min="23" max="23" width="9.28515625" style="23" customWidth="1"/>
    <col min="24" max="24" width="8.28515625" style="23" customWidth="1"/>
    <col min="25" max="26" width="7.140625" style="23" customWidth="1"/>
    <col min="27" max="27" width="5.42578125" style="23" customWidth="1"/>
    <col min="28" max="28" width="5.85546875" style="23" customWidth="1"/>
    <col min="29" max="29" width="6.28515625" style="23" customWidth="1"/>
    <col min="30" max="30" width="7.28515625" style="23" customWidth="1"/>
    <col min="31" max="31" width="8.7109375" style="23" hidden="1" customWidth="1"/>
    <col min="32" max="32" width="31.5703125" style="23" hidden="1" customWidth="1"/>
    <col min="33" max="36" width="8.7109375" style="23" hidden="1" customWidth="1"/>
    <col min="37" max="16384" width="8.7109375" style="23"/>
  </cols>
  <sheetData>
    <row r="1" spans="1:42" s="21" customFormat="1" ht="17.45" customHeight="1" x14ac:dyDescent="0.25">
      <c r="A1" s="158" t="s">
        <v>72</v>
      </c>
      <c r="B1" s="158"/>
      <c r="C1" s="158"/>
      <c r="D1" s="158"/>
      <c r="E1" s="158"/>
      <c r="F1" s="158"/>
      <c r="G1" s="158"/>
      <c r="H1" s="20"/>
      <c r="I1" s="159" t="s">
        <v>142</v>
      </c>
      <c r="J1" s="159"/>
      <c r="K1" s="159"/>
      <c r="L1" s="159"/>
      <c r="M1" s="159"/>
      <c r="N1" s="159"/>
      <c r="O1" s="159"/>
      <c r="P1" s="159"/>
      <c r="Q1" s="160" t="s">
        <v>101</v>
      </c>
      <c r="R1" s="160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7">
        <v>4</v>
      </c>
      <c r="AF1" s="17" t="s">
        <v>69</v>
      </c>
      <c r="AG1" s="21">
        <v>1</v>
      </c>
      <c r="AH1" s="22">
        <v>0.17</v>
      </c>
      <c r="AI1" s="22">
        <v>0</v>
      </c>
      <c r="AJ1" s="22">
        <v>0.15</v>
      </c>
      <c r="AL1" s="55"/>
      <c r="AO1" s="51"/>
      <c r="AP1" s="51"/>
    </row>
    <row r="2" spans="1:42" s="21" customFormat="1" ht="40.5" customHeight="1" x14ac:dyDescent="0.25">
      <c r="A2" s="43" t="s">
        <v>74</v>
      </c>
      <c r="B2" s="20"/>
      <c r="C2" s="20"/>
      <c r="D2" s="20"/>
      <c r="E2" s="20"/>
      <c r="F2" s="165">
        <f>AN6</f>
        <v>0.03</v>
      </c>
      <c r="G2" s="166"/>
      <c r="H2" s="83" t="s">
        <v>100</v>
      </c>
      <c r="I2" s="159"/>
      <c r="J2" s="159"/>
      <c r="K2" s="159"/>
      <c r="L2" s="159"/>
      <c r="M2" s="159"/>
      <c r="N2" s="159"/>
      <c r="O2" s="159"/>
      <c r="P2" s="159"/>
      <c r="Q2" s="160"/>
      <c r="R2" s="160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F2" s="17" t="s">
        <v>70</v>
      </c>
      <c r="AG2" s="21">
        <f>+AG1+1</f>
        <v>2</v>
      </c>
      <c r="AH2" s="22">
        <v>0.17</v>
      </c>
      <c r="AI2" s="22">
        <v>0.17</v>
      </c>
      <c r="AJ2" s="22">
        <v>0.15</v>
      </c>
      <c r="AL2" s="64" t="s">
        <v>84</v>
      </c>
      <c r="AM2" s="49"/>
      <c r="AN2" s="67"/>
      <c r="AO2" s="65" t="s">
        <v>76</v>
      </c>
      <c r="AP2" s="65" t="s">
        <v>77</v>
      </c>
    </row>
    <row r="3" spans="1:42" s="21" customFormat="1" ht="17.45" customHeight="1" x14ac:dyDescent="0.25">
      <c r="A3" s="158" t="s">
        <v>73</v>
      </c>
      <c r="B3" s="158"/>
      <c r="C3" s="158"/>
      <c r="D3" s="158"/>
      <c r="E3" s="158"/>
      <c r="F3" s="158"/>
      <c r="G3" s="158"/>
      <c r="H3" s="167" t="s">
        <v>124</v>
      </c>
      <c r="I3" s="167"/>
      <c r="J3" s="167"/>
      <c r="K3" s="167"/>
      <c r="L3" s="42">
        <v>5</v>
      </c>
      <c r="M3" s="168" t="str">
        <f>+IF(AE5=1,IF(ISBLANK(L3),"","geen waarde invullen"),IF(AND(AE5&gt;1,L3=0),"aantal bevestigers invullen","stuks/m²"))</f>
        <v>geen waarde invullen</v>
      </c>
      <c r="N3" s="168"/>
      <c r="O3" s="168"/>
      <c r="P3" s="168"/>
      <c r="Q3" s="168"/>
      <c r="R3" s="168"/>
      <c r="S3" s="169" t="s">
        <v>121</v>
      </c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F3" s="17" t="s">
        <v>46</v>
      </c>
      <c r="AG3" s="21">
        <f>+AG2+1</f>
        <v>3</v>
      </c>
      <c r="AH3" s="22">
        <v>0.13</v>
      </c>
      <c r="AI3" s="22">
        <v>0.04</v>
      </c>
      <c r="AJ3" s="22">
        <v>0.36</v>
      </c>
      <c r="AL3" s="58" t="s">
        <v>99</v>
      </c>
      <c r="AM3" s="58" t="s">
        <v>96</v>
      </c>
      <c r="AN3" s="68">
        <v>0.03</v>
      </c>
      <c r="AO3" s="50"/>
      <c r="AP3" s="50"/>
    </row>
    <row r="4" spans="1:42" s="21" customFormat="1" ht="17.45" customHeight="1" x14ac:dyDescent="0.25">
      <c r="A4" s="172"/>
      <c r="B4" s="172"/>
      <c r="C4" s="172"/>
      <c r="D4" s="172"/>
      <c r="E4" s="172"/>
      <c r="F4" s="172"/>
      <c r="G4" s="172"/>
      <c r="H4" s="167" t="str">
        <f>+IF(AE5&gt;1,"diameter bevestiger","")</f>
        <v/>
      </c>
      <c r="I4" s="167"/>
      <c r="J4" s="167"/>
      <c r="K4" s="167"/>
      <c r="L4" s="42">
        <v>5</v>
      </c>
      <c r="M4" s="173" t="str">
        <f>+IF(AE5=1,IF(ISBLANK(L4),"","geen waarde invullen"),IF(AND(AE5&gt;1,L4=0),"diameter bevestigers invullen","mm"))</f>
        <v>geen waarde invullen</v>
      </c>
      <c r="N4" s="173"/>
      <c r="O4" s="173"/>
      <c r="P4" s="173"/>
      <c r="Q4" s="173"/>
      <c r="R4" s="173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F4" s="17" t="s">
        <v>47</v>
      </c>
      <c r="AG4" s="21">
        <f>+AG3+1</f>
        <v>4</v>
      </c>
      <c r="AH4" s="22">
        <v>0.1</v>
      </c>
      <c r="AI4" s="22">
        <v>0.04</v>
      </c>
      <c r="AJ4" s="22">
        <v>0.22</v>
      </c>
      <c r="AM4" s="21" t="s">
        <v>75</v>
      </c>
      <c r="AN4" s="50"/>
      <c r="AO4" s="66">
        <v>1</v>
      </c>
      <c r="AP4" s="66">
        <v>1</v>
      </c>
    </row>
    <row r="5" spans="1:42" s="21" customFormat="1" ht="17.45" customHeight="1" thickBot="1" x14ac:dyDescent="0.3">
      <c r="A5" s="174" t="s">
        <v>68</v>
      </c>
      <c r="B5" s="174"/>
      <c r="C5" s="174"/>
      <c r="D5" s="174"/>
      <c r="E5" s="174"/>
      <c r="F5" s="174"/>
      <c r="G5" s="174"/>
      <c r="H5" s="174"/>
      <c r="I5" s="174"/>
      <c r="J5" s="175" t="str">
        <f>+IF(AE8=1,"hout %","")</f>
        <v>hout %</v>
      </c>
      <c r="K5" s="175"/>
      <c r="L5" s="18">
        <v>6.5000000000000002E-2</v>
      </c>
      <c r="M5" s="176" t="str">
        <f>+IF(AE8=2,IF(ISBLANK(L5),"","geen waarde invullen"),IF(AND(AE8=1,ISNUMBER(L5),L5&gt;0),"","percentage invullen"))</f>
        <v/>
      </c>
      <c r="N5" s="176"/>
      <c r="O5" s="176"/>
      <c r="P5" s="176"/>
      <c r="Q5" s="176"/>
      <c r="R5" s="176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9">
        <v>1</v>
      </c>
      <c r="AF5" s="19" t="s">
        <v>57</v>
      </c>
      <c r="AG5" s="23">
        <v>1</v>
      </c>
      <c r="AH5" s="24" t="s">
        <v>62</v>
      </c>
      <c r="AI5" s="25" t="s">
        <v>60</v>
      </c>
      <c r="AM5" s="21" t="s">
        <v>97</v>
      </c>
      <c r="AN5" s="82">
        <f>AN3*AO4*AP4</f>
        <v>0.03</v>
      </c>
      <c r="AO5" s="50"/>
      <c r="AP5" s="50"/>
    </row>
    <row r="6" spans="1:42" ht="13.5" customHeight="1" x14ac:dyDescent="0.25">
      <c r="A6" s="26" t="s">
        <v>63</v>
      </c>
      <c r="B6" s="177" t="s">
        <v>27</v>
      </c>
      <c r="C6" s="178"/>
      <c r="D6" s="177" t="s">
        <v>28</v>
      </c>
      <c r="E6" s="178"/>
      <c r="F6" s="177" t="s">
        <v>29</v>
      </c>
      <c r="G6" s="179"/>
      <c r="H6" s="178"/>
      <c r="I6" s="9" t="s">
        <v>30</v>
      </c>
      <c r="J6" s="177" t="s">
        <v>31</v>
      </c>
      <c r="K6" s="178"/>
      <c r="L6" s="13" t="s">
        <v>32</v>
      </c>
      <c r="M6" s="177" t="s">
        <v>33</v>
      </c>
      <c r="N6" s="179"/>
      <c r="O6" s="177" t="s">
        <v>34</v>
      </c>
      <c r="P6" s="179"/>
      <c r="Q6" s="13" t="s">
        <v>21</v>
      </c>
      <c r="R6" s="9" t="s">
        <v>35</v>
      </c>
      <c r="S6" s="13" t="s">
        <v>36</v>
      </c>
      <c r="T6" s="9" t="s">
        <v>37</v>
      </c>
      <c r="U6" s="9" t="s">
        <v>38</v>
      </c>
      <c r="V6" s="177" t="s">
        <v>39</v>
      </c>
      <c r="W6" s="179"/>
      <c r="X6" s="178"/>
      <c r="Y6" s="9" t="s">
        <v>1</v>
      </c>
      <c r="Z6" s="11" t="s">
        <v>40</v>
      </c>
      <c r="AA6" s="205" t="s">
        <v>41</v>
      </c>
      <c r="AB6" s="206"/>
      <c r="AC6" s="207"/>
      <c r="AD6" s="13" t="s">
        <v>41</v>
      </c>
      <c r="AF6" s="19" t="s">
        <v>58</v>
      </c>
      <c r="AG6" s="23">
        <f>+AG5+1</f>
        <v>2</v>
      </c>
      <c r="AH6" s="23">
        <v>50</v>
      </c>
      <c r="AI6" s="23" t="s">
        <v>61</v>
      </c>
      <c r="AL6" s="49"/>
      <c r="AM6" s="62" t="s">
        <v>98</v>
      </c>
      <c r="AN6" s="69">
        <f>AN5</f>
        <v>0.03</v>
      </c>
      <c r="AO6" s="63"/>
      <c r="AP6" s="63"/>
    </row>
    <row r="7" spans="1:42" ht="13.5" customHeight="1" x14ac:dyDescent="0.25">
      <c r="A7" s="27"/>
      <c r="B7" s="161" t="s">
        <v>56</v>
      </c>
      <c r="C7" s="162"/>
      <c r="D7" s="10"/>
      <c r="E7" s="28"/>
      <c r="F7" s="161" t="s">
        <v>44</v>
      </c>
      <c r="G7" s="163"/>
      <c r="H7" s="162"/>
      <c r="I7" s="10" t="s">
        <v>43</v>
      </c>
      <c r="J7" s="161" t="s">
        <v>44</v>
      </c>
      <c r="K7" s="162"/>
      <c r="L7" s="14" t="s">
        <v>43</v>
      </c>
      <c r="M7" s="161" t="s">
        <v>54</v>
      </c>
      <c r="N7" s="163"/>
      <c r="O7" s="161" t="s">
        <v>55</v>
      </c>
      <c r="P7" s="163"/>
      <c r="Q7" s="14" t="s">
        <v>52</v>
      </c>
      <c r="R7" s="10" t="s">
        <v>53</v>
      </c>
      <c r="S7" s="14" t="s">
        <v>43</v>
      </c>
      <c r="T7" s="10" t="s">
        <v>49</v>
      </c>
      <c r="U7" s="10">
        <v>8.1300000000000008</v>
      </c>
      <c r="V7" s="161" t="s">
        <v>50</v>
      </c>
      <c r="W7" s="163"/>
      <c r="X7" s="162"/>
      <c r="Y7" s="10" t="s">
        <v>48</v>
      </c>
      <c r="Z7" s="12" t="s">
        <v>42</v>
      </c>
      <c r="AA7" s="208" t="s">
        <v>51</v>
      </c>
      <c r="AB7" s="209"/>
      <c r="AC7" s="210"/>
      <c r="AD7" s="14"/>
      <c r="AF7" s="19" t="s">
        <v>59</v>
      </c>
      <c r="AG7" s="23">
        <f>+AG6+1</f>
        <v>3</v>
      </c>
      <c r="AH7" s="23">
        <v>17</v>
      </c>
      <c r="AI7" s="23" t="s">
        <v>61</v>
      </c>
    </row>
    <row r="8" spans="1:42" ht="13.5" customHeight="1" x14ac:dyDescent="0.25">
      <c r="A8" s="146" t="s">
        <v>65</v>
      </c>
      <c r="B8" s="149" t="s">
        <v>3</v>
      </c>
      <c r="C8" s="150"/>
      <c r="D8" s="149" t="s">
        <v>3</v>
      </c>
      <c r="E8" s="150"/>
      <c r="F8" s="149" t="s">
        <v>117</v>
      </c>
      <c r="G8" s="150"/>
      <c r="H8" s="155"/>
      <c r="I8" s="149" t="s">
        <v>9</v>
      </c>
      <c r="J8" s="149" t="s">
        <v>15</v>
      </c>
      <c r="K8" s="150"/>
      <c r="L8" s="199" t="s">
        <v>9</v>
      </c>
      <c r="M8" s="180" t="s">
        <v>13</v>
      </c>
      <c r="N8" s="182" t="s">
        <v>14</v>
      </c>
      <c r="O8" s="149" t="s">
        <v>119</v>
      </c>
      <c r="P8" s="155"/>
      <c r="Q8" s="184" t="s">
        <v>116</v>
      </c>
      <c r="R8" s="187" t="s">
        <v>115</v>
      </c>
      <c r="S8" s="239" t="s">
        <v>23</v>
      </c>
      <c r="T8" s="149" t="s">
        <v>24</v>
      </c>
      <c r="U8" s="199" t="s">
        <v>25</v>
      </c>
      <c r="V8" s="149" t="s">
        <v>22</v>
      </c>
      <c r="W8" s="150"/>
      <c r="X8" s="193" t="s">
        <v>26</v>
      </c>
      <c r="Y8" s="149" t="s">
        <v>0</v>
      </c>
      <c r="Z8" s="149" t="s">
        <v>2</v>
      </c>
      <c r="AA8" s="149" t="s">
        <v>120</v>
      </c>
      <c r="AB8" s="211"/>
      <c r="AC8" s="212"/>
      <c r="AD8" s="224" t="s">
        <v>4</v>
      </c>
      <c r="AE8" s="19">
        <v>1</v>
      </c>
      <c r="AF8" s="19" t="s">
        <v>66</v>
      </c>
      <c r="AH8" s="29"/>
    </row>
    <row r="9" spans="1:42" ht="13.5" customHeight="1" x14ac:dyDescent="0.25">
      <c r="A9" s="147"/>
      <c r="B9" s="151"/>
      <c r="C9" s="152"/>
      <c r="D9" s="151"/>
      <c r="E9" s="152"/>
      <c r="F9" s="151"/>
      <c r="G9" s="152"/>
      <c r="H9" s="156"/>
      <c r="I9" s="151"/>
      <c r="J9" s="151"/>
      <c r="K9" s="152"/>
      <c r="L9" s="200"/>
      <c r="M9" s="181"/>
      <c r="N9" s="183"/>
      <c r="O9" s="151"/>
      <c r="P9" s="156"/>
      <c r="Q9" s="185"/>
      <c r="R9" s="188"/>
      <c r="S9" s="240"/>
      <c r="T9" s="151"/>
      <c r="U9" s="200"/>
      <c r="V9" s="151"/>
      <c r="W9" s="152"/>
      <c r="X9" s="194"/>
      <c r="Y9" s="151"/>
      <c r="Z9" s="151"/>
      <c r="AA9" s="213"/>
      <c r="AB9" s="214"/>
      <c r="AC9" s="215"/>
      <c r="AD9" s="225"/>
      <c r="AF9" s="19" t="s">
        <v>67</v>
      </c>
      <c r="AG9" s="29"/>
      <c r="AH9" s="29"/>
      <c r="AI9" s="29"/>
      <c r="AJ9" s="29"/>
    </row>
    <row r="10" spans="1:42" ht="13.5" customHeight="1" x14ac:dyDescent="0.25">
      <c r="A10" s="147"/>
      <c r="B10" s="151"/>
      <c r="C10" s="152"/>
      <c r="D10" s="151"/>
      <c r="E10" s="152"/>
      <c r="F10" s="151"/>
      <c r="G10" s="152"/>
      <c r="H10" s="156"/>
      <c r="I10" s="151"/>
      <c r="J10" s="151"/>
      <c r="K10" s="152"/>
      <c r="L10" s="200"/>
      <c r="M10" s="181"/>
      <c r="N10" s="183"/>
      <c r="O10" s="151"/>
      <c r="P10" s="156"/>
      <c r="Q10" s="185"/>
      <c r="R10" s="188"/>
      <c r="S10" s="240"/>
      <c r="T10" s="151"/>
      <c r="U10" s="200"/>
      <c r="V10" s="151"/>
      <c r="W10" s="152"/>
      <c r="X10" s="194"/>
      <c r="Y10" s="151"/>
      <c r="Z10" s="151"/>
      <c r="AA10" s="213"/>
      <c r="AB10" s="214"/>
      <c r="AC10" s="215"/>
      <c r="AD10" s="225"/>
      <c r="AJ10" s="29"/>
    </row>
    <row r="11" spans="1:42" ht="13.5" customHeight="1" x14ac:dyDescent="0.25">
      <c r="A11" s="147"/>
      <c r="B11" s="151"/>
      <c r="C11" s="152"/>
      <c r="D11" s="151"/>
      <c r="E11" s="152"/>
      <c r="F11" s="151"/>
      <c r="G11" s="152"/>
      <c r="H11" s="156"/>
      <c r="I11" s="151"/>
      <c r="J11" s="151"/>
      <c r="K11" s="152"/>
      <c r="L11" s="200"/>
      <c r="M11" s="181"/>
      <c r="N11" s="183"/>
      <c r="O11" s="151"/>
      <c r="P11" s="156"/>
      <c r="Q11" s="185"/>
      <c r="R11" s="188"/>
      <c r="S11" s="240"/>
      <c r="T11" s="151"/>
      <c r="U11" s="200"/>
      <c r="V11" s="151"/>
      <c r="W11" s="152"/>
      <c r="X11" s="194"/>
      <c r="Y11" s="151"/>
      <c r="Z11" s="151"/>
      <c r="AA11" s="213"/>
      <c r="AB11" s="214"/>
      <c r="AC11" s="215"/>
      <c r="AD11" s="225"/>
      <c r="AH11" s="29"/>
      <c r="AI11" s="29"/>
      <c r="AJ11" s="29"/>
    </row>
    <row r="12" spans="1:42" ht="13.5" customHeight="1" x14ac:dyDescent="0.25">
      <c r="A12" s="147"/>
      <c r="B12" s="153"/>
      <c r="C12" s="154"/>
      <c r="D12" s="153"/>
      <c r="E12" s="154"/>
      <c r="F12" s="153"/>
      <c r="G12" s="154"/>
      <c r="H12" s="157"/>
      <c r="I12" s="153"/>
      <c r="J12" s="153"/>
      <c r="K12" s="154"/>
      <c r="L12" s="201"/>
      <c r="M12" s="227" t="str">
        <f>+CONCATENATE(G16*100,"% x")</f>
        <v>93,5% x</v>
      </c>
      <c r="N12" s="229" t="str">
        <f>+CONCATENATE(ROUND(K16*100,1),"% x")</f>
        <v>6,5% x</v>
      </c>
      <c r="O12" s="153"/>
      <c r="P12" s="157"/>
      <c r="Q12" s="185"/>
      <c r="R12" s="188"/>
      <c r="S12" s="240"/>
      <c r="T12" s="153"/>
      <c r="U12" s="201"/>
      <c r="V12" s="151"/>
      <c r="W12" s="152"/>
      <c r="X12" s="194"/>
      <c r="Y12" s="153"/>
      <c r="Z12" s="153"/>
      <c r="AA12" s="213"/>
      <c r="AB12" s="214"/>
      <c r="AC12" s="215"/>
      <c r="AD12" s="226"/>
      <c r="AF12" s="30"/>
      <c r="AH12" s="29"/>
      <c r="AI12" s="29"/>
      <c r="AJ12" s="29"/>
    </row>
    <row r="13" spans="1:42" ht="13.5" customHeight="1" x14ac:dyDescent="0.25">
      <c r="A13" s="147"/>
      <c r="B13" s="1" t="s">
        <v>11</v>
      </c>
      <c r="C13" s="31">
        <f>+F2</f>
        <v>0.03</v>
      </c>
      <c r="D13" s="1" t="s">
        <v>12</v>
      </c>
      <c r="E13" s="31">
        <v>0.13</v>
      </c>
      <c r="F13" s="1" t="s">
        <v>8</v>
      </c>
      <c r="G13" s="32">
        <f>+VLOOKUP(AE1,AG1:AJ4,2)</f>
        <v>0.1</v>
      </c>
      <c r="H13" s="32" t="s">
        <v>45</v>
      </c>
      <c r="I13" s="196"/>
      <c r="J13" s="231"/>
      <c r="K13" s="232"/>
      <c r="L13" s="235"/>
      <c r="M13" s="227"/>
      <c r="N13" s="229"/>
      <c r="O13" s="191" t="s">
        <v>18</v>
      </c>
      <c r="P13" s="238"/>
      <c r="Q13" s="185"/>
      <c r="R13" s="188"/>
      <c r="S13" s="240"/>
      <c r="T13" s="196"/>
      <c r="U13" s="196"/>
      <c r="V13" s="153"/>
      <c r="W13" s="154"/>
      <c r="X13" s="195"/>
      <c r="Y13" s="196"/>
      <c r="Z13" s="190"/>
      <c r="AA13" s="99"/>
      <c r="AB13" s="101"/>
      <c r="AC13" s="102"/>
      <c r="AD13" s="202"/>
      <c r="AH13" s="29"/>
      <c r="AI13" s="29"/>
      <c r="AJ13" s="29"/>
      <c r="AK13" s="29"/>
    </row>
    <row r="14" spans="1:42" ht="13.5" customHeight="1" x14ac:dyDescent="0.25">
      <c r="A14" s="147"/>
      <c r="B14" s="216" t="s">
        <v>64</v>
      </c>
      <c r="C14" s="217"/>
      <c r="D14" s="216" t="s">
        <v>61</v>
      </c>
      <c r="E14" s="217"/>
      <c r="F14" s="1" t="s">
        <v>10</v>
      </c>
      <c r="G14" s="32">
        <f>+VLOOKUP(AE1,AG1:AJ4,3)</f>
        <v>0.04</v>
      </c>
      <c r="H14" s="32" t="s">
        <v>45</v>
      </c>
      <c r="I14" s="197"/>
      <c r="J14" s="233"/>
      <c r="K14" s="234"/>
      <c r="L14" s="236"/>
      <c r="M14" s="228"/>
      <c r="N14" s="230"/>
      <c r="O14" s="1" t="str">
        <f>+CONCATENATE(G16*100,"% x")</f>
        <v>93,5% x</v>
      </c>
      <c r="P14" s="2" t="s">
        <v>19</v>
      </c>
      <c r="Q14" s="186"/>
      <c r="R14" s="189"/>
      <c r="S14" s="241"/>
      <c r="T14" s="197"/>
      <c r="U14" s="197"/>
      <c r="V14" s="33" t="s">
        <v>5</v>
      </c>
      <c r="W14" s="32">
        <f>+IF(AND(ISNUMBER(L3),L3&gt;0),L3,"n.v.t.")</f>
        <v>5</v>
      </c>
      <c r="X14" s="8" t="str">
        <f>+IF(W14="n.v.t.","","stuks/m²")</f>
        <v>stuks/m²</v>
      </c>
      <c r="Y14" s="197"/>
      <c r="Z14" s="191"/>
      <c r="AA14" s="98"/>
      <c r="AB14" s="103"/>
      <c r="AC14" s="104"/>
      <c r="AD14" s="203"/>
    </row>
    <row r="15" spans="1:42" ht="13.5" customHeight="1" x14ac:dyDescent="0.25">
      <c r="A15" s="147"/>
      <c r="B15" s="216"/>
      <c r="C15" s="217"/>
      <c r="D15" s="216"/>
      <c r="E15" s="217"/>
      <c r="F15" s="34"/>
      <c r="G15" s="32"/>
      <c r="H15" s="32"/>
      <c r="I15" s="197"/>
      <c r="J15" s="233"/>
      <c r="K15" s="234"/>
      <c r="L15" s="236"/>
      <c r="M15" s="190"/>
      <c r="N15" s="220"/>
      <c r="O15" s="1" t="str">
        <f>+CONCATENATE(ROUND(K16*100,1),"% x")</f>
        <v>6,5% x</v>
      </c>
      <c r="P15" s="2" t="s">
        <v>20</v>
      </c>
      <c r="Q15" s="196"/>
      <c r="R15" s="196"/>
      <c r="S15" s="196"/>
      <c r="T15" s="197"/>
      <c r="U15" s="197"/>
      <c r="V15" s="5" t="s">
        <v>6</v>
      </c>
      <c r="W15" s="6" t="str">
        <f>+VLOOKUP(AE5,AG5:AI7,2)</f>
        <v>n.v.t.</v>
      </c>
      <c r="X15" s="8" t="str">
        <f>+VLOOKUP(AE5,AG5:AI7,3)</f>
        <v/>
      </c>
      <c r="Y15" s="197"/>
      <c r="Z15" s="191"/>
      <c r="AA15" s="98"/>
      <c r="AB15" s="103"/>
      <c r="AC15" s="104"/>
      <c r="AD15" s="203"/>
      <c r="AF15" s="24" t="s">
        <v>60</v>
      </c>
      <c r="AL15" s="53"/>
      <c r="AM15" s="56"/>
    </row>
    <row r="16" spans="1:42" ht="13.5" customHeight="1" thickBot="1" x14ac:dyDescent="0.3">
      <c r="A16" s="148"/>
      <c r="B16" s="218"/>
      <c r="C16" s="219"/>
      <c r="D16" s="218"/>
      <c r="E16" s="219"/>
      <c r="F16" s="3" t="s">
        <v>17</v>
      </c>
      <c r="G16" s="222">
        <f>1-K16</f>
        <v>0.93500000000000005</v>
      </c>
      <c r="H16" s="223"/>
      <c r="I16" s="198"/>
      <c r="J16" s="16" t="s">
        <v>16</v>
      </c>
      <c r="K16" s="35">
        <f>+IF(AE8=1,L5,0)</f>
        <v>6.5000000000000002E-2</v>
      </c>
      <c r="L16" s="237"/>
      <c r="M16" s="192"/>
      <c r="N16" s="221"/>
      <c r="O16" s="44"/>
      <c r="P16" s="4"/>
      <c r="Q16" s="198"/>
      <c r="R16" s="198"/>
      <c r="S16" s="198"/>
      <c r="T16" s="198"/>
      <c r="U16" s="198"/>
      <c r="V16" s="7" t="s">
        <v>7</v>
      </c>
      <c r="W16" s="36">
        <f>+IF(AND(ISNUMBER(L4),L4&gt;0),L4,"n.v.t.")</f>
        <v>5</v>
      </c>
      <c r="X16" s="15" t="str">
        <f>+IF(W16="n.v.t.","","mm")</f>
        <v>mm</v>
      </c>
      <c r="Y16" s="198"/>
      <c r="Z16" s="192"/>
      <c r="AA16" s="105" t="s">
        <v>118</v>
      </c>
      <c r="AB16" s="106">
        <f>+VLOOKUP(AE1,AG1:AJ4,4)</f>
        <v>0.22</v>
      </c>
      <c r="AC16" s="107" t="s">
        <v>65</v>
      </c>
      <c r="AD16" s="204"/>
      <c r="AL16" s="54" t="s">
        <v>83</v>
      </c>
      <c r="AM16" s="84" t="s">
        <v>123</v>
      </c>
    </row>
    <row r="17" spans="1:39" ht="13.5" customHeight="1" x14ac:dyDescent="0.25">
      <c r="A17" s="23">
        <v>40</v>
      </c>
      <c r="B17" s="242">
        <f>+$A17*0.001/C$13</f>
        <v>1.3333333333333335</v>
      </c>
      <c r="C17" s="243"/>
      <c r="D17" s="242">
        <f>+$A17*0.001/E$13</f>
        <v>0.30769230769230771</v>
      </c>
      <c r="E17" s="243"/>
      <c r="F17" s="242">
        <f t="shared" ref="F17:F35" si="0">(B17+$G$13+$G$14)</f>
        <v>1.4733333333333336</v>
      </c>
      <c r="G17" s="243"/>
      <c r="H17" s="46"/>
      <c r="I17" s="38">
        <f>1/F17</f>
        <v>0.67873303167420806</v>
      </c>
      <c r="J17" s="242">
        <f t="shared" ref="J17:J35" si="1">(D17+$G$13+$G$14)</f>
        <v>0.44769230769230767</v>
      </c>
      <c r="K17" s="243"/>
      <c r="L17" s="38">
        <f>1/J17</f>
        <v>2.2336769759450172</v>
      </c>
      <c r="M17" s="242">
        <f>1/($G$16*I17+$K$16*L17)</f>
        <v>1.2823728813559323</v>
      </c>
      <c r="N17" s="243"/>
      <c r="O17" s="242">
        <f t="shared" ref="O17:O35" si="2">+A17*0.001/($G$16*$C$13+$K$16*$E$13)+$G$13+$G$14</f>
        <v>1.2358904109589042</v>
      </c>
      <c r="P17" s="243"/>
      <c r="Q17" s="45">
        <f t="shared" ref="Q17:Q35" si="3">+IF(M17/(O17)&lt;1.05,0,1)</f>
        <v>0</v>
      </c>
      <c r="R17" s="38">
        <f t="shared" ref="R17:R35" si="4">+((Q17*M17+O17)/(1+1.05*Q17))</f>
        <v>1.2358904109589042</v>
      </c>
      <c r="S17" s="38">
        <f>1/R17</f>
        <v>0.80913322988250935</v>
      </c>
      <c r="T17" s="38">
        <v>0</v>
      </c>
      <c r="U17" s="38">
        <v>0</v>
      </c>
      <c r="V17" s="242">
        <f>+IF(ISNUMBER($W$15),POWER(B17/R17,2)*((0.8*A17/A17)*($L$3*$W$15*PI()*POWER(($L$4/2)*0.001,2))/(A17*0.001)),0)</f>
        <v>0</v>
      </c>
      <c r="W17" s="243"/>
      <c r="X17" s="46"/>
      <c r="Y17" s="38">
        <f>T17+U17+V17</f>
        <v>0</v>
      </c>
      <c r="Z17" s="38">
        <f t="shared" ref="Z17:Z35" si="5">S17/1+Y17</f>
        <v>0.80913322988250935</v>
      </c>
      <c r="AA17" s="38"/>
      <c r="AB17" s="100">
        <f t="shared" ref="AB17:AB35" si="6">1/Z17-$G$13-$G$14+$AB$16</f>
        <v>1.315890410958904</v>
      </c>
      <c r="AC17" s="100"/>
      <c r="AD17" s="39">
        <f t="shared" ref="AD17:AD35" si="7">ROUND(AB17,1)</f>
        <v>1.3</v>
      </c>
      <c r="AE17" s="37"/>
      <c r="AL17" s="78">
        <f>A17</f>
        <v>40</v>
      </c>
      <c r="AM17" s="52">
        <f>AB17</f>
        <v>1.315890410958904</v>
      </c>
    </row>
    <row r="18" spans="1:39" ht="13.5" customHeight="1" x14ac:dyDescent="0.25">
      <c r="A18" s="23">
        <f t="shared" ref="A18:A23" si="8">+A17+10</f>
        <v>50</v>
      </c>
      <c r="B18" s="242">
        <f t="shared" ref="B18:B35" si="9">+$A18*0.001/C$13</f>
        <v>1.6666666666666667</v>
      </c>
      <c r="C18" s="243"/>
      <c r="D18" s="242">
        <f>+$A18*0.001/E$13</f>
        <v>0.38461538461538464</v>
      </c>
      <c r="E18" s="243"/>
      <c r="F18" s="242">
        <f t="shared" si="0"/>
        <v>1.8066666666666669</v>
      </c>
      <c r="G18" s="243"/>
      <c r="H18" s="46"/>
      <c r="I18" s="38">
        <f>1/F18</f>
        <v>0.55350553505535049</v>
      </c>
      <c r="J18" s="242">
        <f t="shared" si="1"/>
        <v>0.52461538461538471</v>
      </c>
      <c r="K18" s="243"/>
      <c r="L18" s="38">
        <f>1/J18</f>
        <v>1.9061583577712606</v>
      </c>
      <c r="M18" s="242">
        <f t="shared" ref="M18:M35" si="10">1/($G$16*I18+$K$16*L18)</f>
        <v>1.55902150991143</v>
      </c>
      <c r="N18" s="243"/>
      <c r="O18" s="242">
        <f t="shared" si="2"/>
        <v>1.5098630136986302</v>
      </c>
      <c r="P18" s="243"/>
      <c r="Q18" s="45">
        <f t="shared" si="3"/>
        <v>0</v>
      </c>
      <c r="R18" s="38">
        <f t="shared" si="4"/>
        <v>1.5098630136986302</v>
      </c>
      <c r="S18" s="38">
        <f t="shared" ref="S18:S35" si="11">1/R18</f>
        <v>0.66231174015605154</v>
      </c>
      <c r="T18" s="38">
        <v>0</v>
      </c>
      <c r="U18" s="38">
        <v>0</v>
      </c>
      <c r="V18" s="242">
        <f t="shared" ref="V18:V35" si="12">+IF(ISNUMBER($W$15),POWER(B18/R18,2)*((0.8*A18/A18)*($L$3*$W$15*PI()*POWER(($L$4/2)*0.001,2))/(A18*0.001)),0)</f>
        <v>0</v>
      </c>
      <c r="W18" s="243"/>
      <c r="X18" s="46"/>
      <c r="Y18" s="38">
        <f t="shared" ref="Y18:Y35" si="13">T18+U18+V18</f>
        <v>0</v>
      </c>
      <c r="Z18" s="38">
        <f t="shared" si="5"/>
        <v>0.66231174015605154</v>
      </c>
      <c r="AA18" s="38"/>
      <c r="AB18" s="100">
        <f t="shared" si="6"/>
        <v>1.58986301369863</v>
      </c>
      <c r="AC18" s="100"/>
      <c r="AD18" s="39">
        <f t="shared" si="7"/>
        <v>1.6</v>
      </c>
      <c r="AL18" s="78">
        <f t="shared" ref="AL18:AL35" si="14">A18</f>
        <v>50</v>
      </c>
      <c r="AM18" s="52">
        <f t="shared" ref="AM18:AM35" si="15">AB18</f>
        <v>1.58986301369863</v>
      </c>
    </row>
    <row r="19" spans="1:39" ht="13.5" customHeight="1" x14ac:dyDescent="0.25">
      <c r="A19" s="23">
        <f t="shared" si="8"/>
        <v>60</v>
      </c>
      <c r="B19" s="242">
        <f t="shared" si="9"/>
        <v>2</v>
      </c>
      <c r="C19" s="243"/>
      <c r="D19" s="242">
        <f t="shared" ref="D19:D35" si="16">+$A19*0.001/E$13</f>
        <v>0.46153846153846151</v>
      </c>
      <c r="E19" s="243"/>
      <c r="F19" s="242">
        <f t="shared" si="0"/>
        <v>2.14</v>
      </c>
      <c r="G19" s="243"/>
      <c r="H19" s="46"/>
      <c r="I19" s="38">
        <f t="shared" ref="I19:I35" si="17">1/F19</f>
        <v>0.46728971962616822</v>
      </c>
      <c r="J19" s="242">
        <f t="shared" si="1"/>
        <v>0.60153846153846158</v>
      </c>
      <c r="K19" s="243"/>
      <c r="L19" s="38">
        <f t="shared" ref="L19:L35" si="18">1/J19</f>
        <v>1.6624040920716112</v>
      </c>
      <c r="M19" s="242">
        <f t="shared" si="10"/>
        <v>1.8349561403508774</v>
      </c>
      <c r="N19" s="243"/>
      <c r="O19" s="242">
        <f t="shared" si="2"/>
        <v>1.783835616438356</v>
      </c>
      <c r="P19" s="243"/>
      <c r="Q19" s="45">
        <f t="shared" si="3"/>
        <v>0</v>
      </c>
      <c r="R19" s="38">
        <f t="shared" si="4"/>
        <v>1.783835616438356</v>
      </c>
      <c r="S19" s="38">
        <f t="shared" si="11"/>
        <v>0.56058977115650444</v>
      </c>
      <c r="T19" s="38">
        <v>0</v>
      </c>
      <c r="U19" s="38">
        <v>0</v>
      </c>
      <c r="V19" s="242">
        <f t="shared" si="12"/>
        <v>0</v>
      </c>
      <c r="W19" s="243"/>
      <c r="X19" s="46"/>
      <c r="Y19" s="38">
        <f t="shared" si="13"/>
        <v>0</v>
      </c>
      <c r="Z19" s="38">
        <f t="shared" si="5"/>
        <v>0.56058977115650444</v>
      </c>
      <c r="AA19" s="38"/>
      <c r="AB19" s="100">
        <f t="shared" si="6"/>
        <v>1.8638356164383558</v>
      </c>
      <c r="AC19" s="100"/>
      <c r="AD19" s="39">
        <f t="shared" si="7"/>
        <v>1.9</v>
      </c>
      <c r="AL19" s="78">
        <f t="shared" si="14"/>
        <v>60</v>
      </c>
      <c r="AM19" s="52">
        <f t="shared" si="15"/>
        <v>1.8638356164383558</v>
      </c>
    </row>
    <row r="20" spans="1:39" ht="13.5" customHeight="1" x14ac:dyDescent="0.25">
      <c r="A20" s="23">
        <f t="shared" si="8"/>
        <v>70</v>
      </c>
      <c r="B20" s="242">
        <f t="shared" si="9"/>
        <v>2.3333333333333335</v>
      </c>
      <c r="C20" s="243"/>
      <c r="D20" s="242">
        <f t="shared" si="16"/>
        <v>0.53846153846153855</v>
      </c>
      <c r="E20" s="243"/>
      <c r="F20" s="242">
        <f t="shared" si="0"/>
        <v>2.4733333333333336</v>
      </c>
      <c r="G20" s="243"/>
      <c r="H20" s="46"/>
      <c r="I20" s="38">
        <f t="shared" si="17"/>
        <v>0.4043126684636118</v>
      </c>
      <c r="J20" s="242">
        <f t="shared" si="1"/>
        <v>0.67846153846153856</v>
      </c>
      <c r="K20" s="243"/>
      <c r="L20" s="38">
        <f t="shared" si="18"/>
        <v>1.4739229024943308</v>
      </c>
      <c r="M20" s="242">
        <f t="shared" si="10"/>
        <v>2.1104288939051923</v>
      </c>
      <c r="N20" s="243"/>
      <c r="O20" s="242">
        <f t="shared" si="2"/>
        <v>2.057808219178082</v>
      </c>
      <c r="P20" s="243"/>
      <c r="Q20" s="45">
        <f t="shared" si="3"/>
        <v>0</v>
      </c>
      <c r="R20" s="38">
        <f t="shared" si="4"/>
        <v>2.057808219178082</v>
      </c>
      <c r="S20" s="38">
        <f t="shared" si="11"/>
        <v>0.48595393422979632</v>
      </c>
      <c r="T20" s="38">
        <v>0</v>
      </c>
      <c r="U20" s="38">
        <v>0</v>
      </c>
      <c r="V20" s="242">
        <f t="shared" si="12"/>
        <v>0</v>
      </c>
      <c r="W20" s="243"/>
      <c r="X20" s="46"/>
      <c r="Y20" s="38">
        <f t="shared" si="13"/>
        <v>0</v>
      </c>
      <c r="Z20" s="38">
        <f t="shared" si="5"/>
        <v>0.48595393422979632</v>
      </c>
      <c r="AA20" s="38"/>
      <c r="AB20" s="100">
        <f t="shared" si="6"/>
        <v>2.1378082191780821</v>
      </c>
      <c r="AC20" s="100"/>
      <c r="AD20" s="39">
        <f t="shared" si="7"/>
        <v>2.1</v>
      </c>
      <c r="AL20" s="78">
        <f t="shared" si="14"/>
        <v>70</v>
      </c>
      <c r="AM20" s="52">
        <f t="shared" si="15"/>
        <v>2.1378082191780821</v>
      </c>
    </row>
    <row r="21" spans="1:39" ht="13.5" customHeight="1" x14ac:dyDescent="0.25">
      <c r="A21" s="23">
        <f t="shared" si="8"/>
        <v>80</v>
      </c>
      <c r="B21" s="242">
        <f t="shared" si="9"/>
        <v>2.666666666666667</v>
      </c>
      <c r="C21" s="243"/>
      <c r="D21" s="242">
        <f t="shared" si="16"/>
        <v>0.61538461538461542</v>
      </c>
      <c r="E21" s="243"/>
      <c r="F21" s="242">
        <f t="shared" si="0"/>
        <v>2.8066666666666671</v>
      </c>
      <c r="G21" s="243"/>
      <c r="H21" s="46"/>
      <c r="I21" s="38">
        <f t="shared" si="17"/>
        <v>0.3562945368171021</v>
      </c>
      <c r="J21" s="242">
        <f t="shared" si="1"/>
        <v>0.75538461538461543</v>
      </c>
      <c r="K21" s="243"/>
      <c r="L21" s="38">
        <f t="shared" si="18"/>
        <v>1.3238289205702647</v>
      </c>
      <c r="M21" s="242">
        <f t="shared" si="10"/>
        <v>2.385585689555684</v>
      </c>
      <c r="N21" s="243"/>
      <c r="O21" s="242">
        <f t="shared" si="2"/>
        <v>2.3317808219178082</v>
      </c>
      <c r="P21" s="243"/>
      <c r="Q21" s="45">
        <f t="shared" si="3"/>
        <v>0</v>
      </c>
      <c r="R21" s="38">
        <f t="shared" si="4"/>
        <v>2.3317808219178082</v>
      </c>
      <c r="S21" s="38">
        <f t="shared" si="11"/>
        <v>0.42885677358712254</v>
      </c>
      <c r="T21" s="38">
        <v>0</v>
      </c>
      <c r="U21" s="38">
        <v>0</v>
      </c>
      <c r="V21" s="242">
        <f t="shared" si="12"/>
        <v>0</v>
      </c>
      <c r="W21" s="243"/>
      <c r="X21" s="46"/>
      <c r="Y21" s="38">
        <f t="shared" si="13"/>
        <v>0</v>
      </c>
      <c r="Z21" s="38">
        <f t="shared" si="5"/>
        <v>0.42885677358712254</v>
      </c>
      <c r="AA21" s="38"/>
      <c r="AB21" s="100">
        <f t="shared" si="6"/>
        <v>2.4117808219178083</v>
      </c>
      <c r="AC21" s="100"/>
      <c r="AD21" s="39">
        <f t="shared" si="7"/>
        <v>2.4</v>
      </c>
      <c r="AF21" s="40"/>
      <c r="AL21" s="78">
        <f t="shared" si="14"/>
        <v>80</v>
      </c>
      <c r="AM21" s="52">
        <f t="shared" si="15"/>
        <v>2.4117808219178083</v>
      </c>
    </row>
    <row r="22" spans="1:39" ht="13.5" customHeight="1" x14ac:dyDescent="0.25">
      <c r="A22" s="23">
        <f t="shared" si="8"/>
        <v>90</v>
      </c>
      <c r="B22" s="242">
        <f t="shared" si="9"/>
        <v>3</v>
      </c>
      <c r="C22" s="243"/>
      <c r="D22" s="242">
        <f t="shared" si="16"/>
        <v>0.69230769230769229</v>
      </c>
      <c r="E22" s="243"/>
      <c r="F22" s="242">
        <f t="shared" si="0"/>
        <v>3.14</v>
      </c>
      <c r="G22" s="243"/>
      <c r="H22" s="46"/>
      <c r="I22" s="38">
        <f t="shared" si="17"/>
        <v>0.31847133757961782</v>
      </c>
      <c r="J22" s="242">
        <f t="shared" si="1"/>
        <v>0.8323076923076923</v>
      </c>
      <c r="K22" s="243"/>
      <c r="L22" s="38">
        <f t="shared" si="18"/>
        <v>1.201478743068392</v>
      </c>
      <c r="M22" s="242">
        <f t="shared" si="10"/>
        <v>2.6605168363351606</v>
      </c>
      <c r="N22" s="243"/>
      <c r="O22" s="242">
        <f t="shared" si="2"/>
        <v>2.605753424657534</v>
      </c>
      <c r="P22" s="243"/>
      <c r="Q22" s="45">
        <f t="shared" si="3"/>
        <v>0</v>
      </c>
      <c r="R22" s="38">
        <f t="shared" si="4"/>
        <v>2.605753424657534</v>
      </c>
      <c r="S22" s="38">
        <f t="shared" si="11"/>
        <v>0.38376616549258757</v>
      </c>
      <c r="T22" s="38">
        <v>0</v>
      </c>
      <c r="U22" s="38">
        <v>0</v>
      </c>
      <c r="V22" s="242">
        <f t="shared" si="12"/>
        <v>0</v>
      </c>
      <c r="W22" s="243"/>
      <c r="X22" s="46"/>
      <c r="Y22" s="38">
        <f t="shared" si="13"/>
        <v>0</v>
      </c>
      <c r="Z22" s="38">
        <f t="shared" si="5"/>
        <v>0.38376616549258757</v>
      </c>
      <c r="AA22" s="38"/>
      <c r="AB22" s="100">
        <f t="shared" si="6"/>
        <v>2.6857534246575341</v>
      </c>
      <c r="AC22" s="100"/>
      <c r="AD22" s="39">
        <f t="shared" si="7"/>
        <v>2.7</v>
      </c>
      <c r="AL22" s="78">
        <f t="shared" si="14"/>
        <v>90</v>
      </c>
      <c r="AM22" s="52">
        <f t="shared" si="15"/>
        <v>2.6857534246575341</v>
      </c>
    </row>
    <row r="23" spans="1:39" ht="13.5" customHeight="1" x14ac:dyDescent="0.25">
      <c r="A23" s="23">
        <f t="shared" si="8"/>
        <v>100</v>
      </c>
      <c r="B23" s="242">
        <f t="shared" si="9"/>
        <v>3.3333333333333335</v>
      </c>
      <c r="C23" s="243"/>
      <c r="D23" s="242">
        <f t="shared" si="16"/>
        <v>0.76923076923076927</v>
      </c>
      <c r="E23" s="243"/>
      <c r="F23" s="242">
        <f t="shared" si="0"/>
        <v>3.4733333333333336</v>
      </c>
      <c r="G23" s="243"/>
      <c r="H23" s="46"/>
      <c r="I23" s="38">
        <f t="shared" si="17"/>
        <v>0.28790786948176583</v>
      </c>
      <c r="J23" s="242">
        <f t="shared" si="1"/>
        <v>0.90923076923076929</v>
      </c>
      <c r="K23" s="243"/>
      <c r="L23" s="38">
        <f t="shared" si="18"/>
        <v>1.0998307952622672</v>
      </c>
      <c r="M23" s="242">
        <f t="shared" si="10"/>
        <v>2.9352812202097236</v>
      </c>
      <c r="N23" s="243"/>
      <c r="O23" s="242">
        <f t="shared" si="2"/>
        <v>2.8797260273972602</v>
      </c>
      <c r="P23" s="243"/>
      <c r="Q23" s="45">
        <f t="shared" si="3"/>
        <v>0</v>
      </c>
      <c r="R23" s="38">
        <f t="shared" si="4"/>
        <v>2.8797260273972602</v>
      </c>
      <c r="S23" s="38">
        <f t="shared" si="11"/>
        <v>0.34725525639805915</v>
      </c>
      <c r="T23" s="38">
        <v>0</v>
      </c>
      <c r="U23" s="38">
        <v>0</v>
      </c>
      <c r="V23" s="242">
        <f t="shared" si="12"/>
        <v>0</v>
      </c>
      <c r="W23" s="243"/>
      <c r="X23" s="46"/>
      <c r="Y23" s="38">
        <f t="shared" si="13"/>
        <v>0</v>
      </c>
      <c r="Z23" s="38">
        <f t="shared" si="5"/>
        <v>0.34725525639805915</v>
      </c>
      <c r="AA23" s="38"/>
      <c r="AB23" s="100">
        <f t="shared" si="6"/>
        <v>2.9597260273972603</v>
      </c>
      <c r="AC23" s="100"/>
      <c r="AD23" s="39">
        <f t="shared" si="7"/>
        <v>3</v>
      </c>
      <c r="AL23" s="78">
        <f t="shared" si="14"/>
        <v>100</v>
      </c>
      <c r="AM23" s="52">
        <f t="shared" si="15"/>
        <v>2.9597260273972603</v>
      </c>
    </row>
    <row r="24" spans="1:39" ht="13.5" customHeight="1" x14ac:dyDescent="0.25">
      <c r="A24" s="23">
        <f t="shared" ref="A24:A35" si="19">+A23+10</f>
        <v>110</v>
      </c>
      <c r="B24" s="242">
        <f t="shared" si="9"/>
        <v>3.666666666666667</v>
      </c>
      <c r="C24" s="243"/>
      <c r="D24" s="242">
        <f t="shared" si="16"/>
        <v>0.84615384615384615</v>
      </c>
      <c r="E24" s="243"/>
      <c r="F24" s="242">
        <f t="shared" si="0"/>
        <v>3.8066666666666671</v>
      </c>
      <c r="G24" s="243"/>
      <c r="H24" s="46"/>
      <c r="I24" s="38">
        <f t="shared" si="17"/>
        <v>0.26269702276707529</v>
      </c>
      <c r="J24" s="242">
        <f t="shared" si="1"/>
        <v>0.98615384615384616</v>
      </c>
      <c r="K24" s="243"/>
      <c r="L24" s="38">
        <f t="shared" si="18"/>
        <v>1.0140405616224648</v>
      </c>
      <c r="M24" s="242">
        <f t="shared" si="10"/>
        <v>3.2099188774391583</v>
      </c>
      <c r="N24" s="243"/>
      <c r="O24" s="242">
        <f t="shared" si="2"/>
        <v>3.153698630136986</v>
      </c>
      <c r="P24" s="243"/>
      <c r="Q24" s="45">
        <f t="shared" si="3"/>
        <v>0</v>
      </c>
      <c r="R24" s="38">
        <f t="shared" si="4"/>
        <v>3.153698630136986</v>
      </c>
      <c r="S24" s="38">
        <f t="shared" si="11"/>
        <v>0.31708800277994964</v>
      </c>
      <c r="T24" s="38">
        <v>0</v>
      </c>
      <c r="U24" s="38">
        <v>0</v>
      </c>
      <c r="V24" s="242">
        <f t="shared" si="12"/>
        <v>0</v>
      </c>
      <c r="W24" s="243"/>
      <c r="X24" s="46"/>
      <c r="Y24" s="38">
        <f t="shared" si="13"/>
        <v>0</v>
      </c>
      <c r="Z24" s="38">
        <f t="shared" si="5"/>
        <v>0.31708800277994964</v>
      </c>
      <c r="AA24" s="38"/>
      <c r="AB24" s="100">
        <f t="shared" si="6"/>
        <v>3.2336986301369861</v>
      </c>
      <c r="AC24" s="100"/>
      <c r="AD24" s="39">
        <f t="shared" si="7"/>
        <v>3.2</v>
      </c>
      <c r="AL24" s="78">
        <f t="shared" si="14"/>
        <v>110</v>
      </c>
      <c r="AM24" s="52">
        <f t="shared" si="15"/>
        <v>3.2336986301369861</v>
      </c>
    </row>
    <row r="25" spans="1:39" ht="13.5" customHeight="1" x14ac:dyDescent="0.25">
      <c r="A25" s="23">
        <f t="shared" si="19"/>
        <v>120</v>
      </c>
      <c r="B25" s="242">
        <f t="shared" si="9"/>
        <v>4</v>
      </c>
      <c r="C25" s="243"/>
      <c r="D25" s="242">
        <f t="shared" si="16"/>
        <v>0.92307692307692302</v>
      </c>
      <c r="E25" s="243"/>
      <c r="F25" s="242">
        <f t="shared" si="0"/>
        <v>4.1399999999999997</v>
      </c>
      <c r="G25" s="243"/>
      <c r="H25" s="46"/>
      <c r="I25" s="38">
        <f t="shared" si="17"/>
        <v>0.24154589371980678</v>
      </c>
      <c r="J25" s="242">
        <f t="shared" si="1"/>
        <v>1.063076923076923</v>
      </c>
      <c r="K25" s="243"/>
      <c r="L25" s="38">
        <f t="shared" si="18"/>
        <v>0.94066570188133147</v>
      </c>
      <c r="M25" s="242">
        <f t="shared" si="10"/>
        <v>3.4844579780755169</v>
      </c>
      <c r="N25" s="243"/>
      <c r="O25" s="242">
        <f t="shared" si="2"/>
        <v>3.4276712328767118</v>
      </c>
      <c r="P25" s="243"/>
      <c r="Q25" s="45">
        <f t="shared" si="3"/>
        <v>0</v>
      </c>
      <c r="R25" s="38">
        <f t="shared" si="4"/>
        <v>3.4276712328767118</v>
      </c>
      <c r="S25" s="38">
        <f t="shared" si="11"/>
        <v>0.29174326592598515</v>
      </c>
      <c r="T25" s="38">
        <v>0</v>
      </c>
      <c r="U25" s="38">
        <v>0</v>
      </c>
      <c r="V25" s="242">
        <f t="shared" si="12"/>
        <v>0</v>
      </c>
      <c r="W25" s="243"/>
      <c r="X25" s="46"/>
      <c r="Y25" s="38">
        <f t="shared" si="13"/>
        <v>0</v>
      </c>
      <c r="Z25" s="38">
        <f t="shared" si="5"/>
        <v>0.29174326592598515</v>
      </c>
      <c r="AA25" s="38"/>
      <c r="AB25" s="100">
        <f t="shared" si="6"/>
        <v>3.5076712328767123</v>
      </c>
      <c r="AC25" s="100"/>
      <c r="AD25" s="39">
        <f t="shared" si="7"/>
        <v>3.5</v>
      </c>
      <c r="AL25" s="78">
        <f t="shared" si="14"/>
        <v>120</v>
      </c>
      <c r="AM25" s="52">
        <f t="shared" si="15"/>
        <v>3.5076712328767123</v>
      </c>
    </row>
    <row r="26" spans="1:39" ht="13.5" customHeight="1" x14ac:dyDescent="0.25">
      <c r="A26" s="23">
        <f t="shared" si="19"/>
        <v>130</v>
      </c>
      <c r="B26" s="242">
        <f t="shared" si="9"/>
        <v>4.3333333333333339</v>
      </c>
      <c r="C26" s="243"/>
      <c r="D26" s="242">
        <f t="shared" si="16"/>
        <v>1</v>
      </c>
      <c r="E26" s="243"/>
      <c r="F26" s="242">
        <f t="shared" si="0"/>
        <v>4.4733333333333336</v>
      </c>
      <c r="G26" s="243"/>
      <c r="H26" s="46"/>
      <c r="I26" s="38">
        <f t="shared" si="17"/>
        <v>0.22354694485842025</v>
      </c>
      <c r="J26" s="242">
        <f t="shared" si="1"/>
        <v>1.1400000000000001</v>
      </c>
      <c r="K26" s="243"/>
      <c r="L26" s="38">
        <f t="shared" si="18"/>
        <v>0.8771929824561403</v>
      </c>
      <c r="M26" s="242">
        <f t="shared" si="10"/>
        <v>3.7589189189189196</v>
      </c>
      <c r="N26" s="243"/>
      <c r="O26" s="242">
        <f t="shared" si="2"/>
        <v>3.7016438356164381</v>
      </c>
      <c r="P26" s="243"/>
      <c r="Q26" s="45">
        <f t="shared" si="3"/>
        <v>0</v>
      </c>
      <c r="R26" s="38">
        <f t="shared" si="4"/>
        <v>3.7016438356164381</v>
      </c>
      <c r="S26" s="38">
        <f t="shared" si="11"/>
        <v>0.27015024794611797</v>
      </c>
      <c r="T26" s="38">
        <v>0</v>
      </c>
      <c r="U26" s="38">
        <v>0</v>
      </c>
      <c r="V26" s="242">
        <f t="shared" si="12"/>
        <v>0</v>
      </c>
      <c r="W26" s="243"/>
      <c r="X26" s="46"/>
      <c r="Y26" s="38">
        <f t="shared" si="13"/>
        <v>0</v>
      </c>
      <c r="Z26" s="38">
        <f t="shared" si="5"/>
        <v>0.27015024794611797</v>
      </c>
      <c r="AA26" s="38"/>
      <c r="AB26" s="100">
        <f t="shared" si="6"/>
        <v>3.7816438356164386</v>
      </c>
      <c r="AC26" s="100"/>
      <c r="AD26" s="39">
        <f t="shared" si="7"/>
        <v>3.8</v>
      </c>
      <c r="AL26" s="78">
        <f t="shared" si="14"/>
        <v>130</v>
      </c>
      <c r="AM26" s="52">
        <f t="shared" si="15"/>
        <v>3.7816438356164386</v>
      </c>
    </row>
    <row r="27" spans="1:39" ht="13.5" customHeight="1" x14ac:dyDescent="0.25">
      <c r="A27" s="23">
        <f t="shared" si="19"/>
        <v>140</v>
      </c>
      <c r="B27" s="242">
        <f t="shared" si="9"/>
        <v>4.666666666666667</v>
      </c>
      <c r="C27" s="243"/>
      <c r="D27" s="242">
        <f t="shared" si="16"/>
        <v>1.0769230769230771</v>
      </c>
      <c r="E27" s="243"/>
      <c r="F27" s="242">
        <f t="shared" si="0"/>
        <v>4.8066666666666666</v>
      </c>
      <c r="G27" s="243"/>
      <c r="H27" s="46"/>
      <c r="I27" s="38">
        <f t="shared" si="17"/>
        <v>0.20804438280166435</v>
      </c>
      <c r="J27" s="242">
        <f t="shared" si="1"/>
        <v>1.2169230769230772</v>
      </c>
      <c r="K27" s="243"/>
      <c r="L27" s="38">
        <f t="shared" si="18"/>
        <v>0.82174462705436135</v>
      </c>
      <c r="M27" s="242">
        <f t="shared" si="10"/>
        <v>4.0333168316831687</v>
      </c>
      <c r="N27" s="243"/>
      <c r="O27" s="242">
        <f t="shared" si="2"/>
        <v>3.9756164383561643</v>
      </c>
      <c r="P27" s="243"/>
      <c r="Q27" s="45">
        <f t="shared" si="3"/>
        <v>0</v>
      </c>
      <c r="R27" s="38">
        <f t="shared" si="4"/>
        <v>3.9756164383561643</v>
      </c>
      <c r="S27" s="38">
        <f t="shared" si="11"/>
        <v>0.2515333195506857</v>
      </c>
      <c r="T27" s="38">
        <v>0</v>
      </c>
      <c r="U27" s="38">
        <v>0</v>
      </c>
      <c r="V27" s="242">
        <f t="shared" si="12"/>
        <v>0</v>
      </c>
      <c r="W27" s="243"/>
      <c r="X27" s="46"/>
      <c r="Y27" s="38">
        <f t="shared" si="13"/>
        <v>0</v>
      </c>
      <c r="Z27" s="38">
        <f t="shared" si="5"/>
        <v>0.2515333195506857</v>
      </c>
      <c r="AA27" s="38"/>
      <c r="AB27" s="100">
        <f t="shared" si="6"/>
        <v>4.0556164383561644</v>
      </c>
      <c r="AC27" s="100"/>
      <c r="AD27" s="39">
        <f t="shared" si="7"/>
        <v>4.0999999999999996</v>
      </c>
      <c r="AL27" s="78">
        <f t="shared" si="14"/>
        <v>140</v>
      </c>
      <c r="AM27" s="52">
        <f t="shared" si="15"/>
        <v>4.0556164383561644</v>
      </c>
    </row>
    <row r="28" spans="1:39" ht="13.5" customHeight="1" x14ac:dyDescent="0.25">
      <c r="A28" s="23">
        <f t="shared" si="19"/>
        <v>150</v>
      </c>
      <c r="B28" s="242">
        <f t="shared" si="9"/>
        <v>5</v>
      </c>
      <c r="C28" s="243"/>
      <c r="D28" s="242">
        <f t="shared" si="16"/>
        <v>1.1538461538461537</v>
      </c>
      <c r="E28" s="243"/>
      <c r="F28" s="242">
        <f t="shared" si="0"/>
        <v>5.14</v>
      </c>
      <c r="G28" s="243"/>
      <c r="H28" s="46"/>
      <c r="I28" s="38">
        <f t="shared" si="17"/>
        <v>0.19455252918287938</v>
      </c>
      <c r="J28" s="242">
        <f t="shared" si="1"/>
        <v>1.2938461538461539</v>
      </c>
      <c r="K28" s="243"/>
      <c r="L28" s="38">
        <f t="shared" si="18"/>
        <v>0.77288941736028538</v>
      </c>
      <c r="M28" s="242">
        <f t="shared" si="10"/>
        <v>4.3076631788739412</v>
      </c>
      <c r="N28" s="243"/>
      <c r="O28" s="242">
        <f t="shared" si="2"/>
        <v>4.2495890410958896</v>
      </c>
      <c r="P28" s="243"/>
      <c r="Q28" s="45">
        <f t="shared" si="3"/>
        <v>0</v>
      </c>
      <c r="R28" s="38">
        <f t="shared" si="4"/>
        <v>4.2495890410958896</v>
      </c>
      <c r="S28" s="38">
        <f t="shared" si="11"/>
        <v>0.23531687189736319</v>
      </c>
      <c r="T28" s="38">
        <v>0</v>
      </c>
      <c r="U28" s="38">
        <v>0</v>
      </c>
      <c r="V28" s="242">
        <f t="shared" si="12"/>
        <v>0</v>
      </c>
      <c r="W28" s="243"/>
      <c r="X28" s="46"/>
      <c r="Y28" s="38">
        <f t="shared" si="13"/>
        <v>0</v>
      </c>
      <c r="Z28" s="38">
        <f t="shared" si="5"/>
        <v>0.23531687189736319</v>
      </c>
      <c r="AA28" s="38"/>
      <c r="AB28" s="100">
        <f t="shared" si="6"/>
        <v>4.3295890410958897</v>
      </c>
      <c r="AC28" s="100"/>
      <c r="AD28" s="39">
        <f t="shared" si="7"/>
        <v>4.3</v>
      </c>
      <c r="AL28" s="78">
        <f t="shared" si="14"/>
        <v>150</v>
      </c>
      <c r="AM28" s="52">
        <f t="shared" si="15"/>
        <v>4.3295890410958897</v>
      </c>
    </row>
    <row r="29" spans="1:39" ht="13.5" customHeight="1" x14ac:dyDescent="0.25">
      <c r="A29" s="23">
        <f>+A28+10</f>
        <v>160</v>
      </c>
      <c r="B29" s="242">
        <f t="shared" si="9"/>
        <v>5.3333333333333339</v>
      </c>
      <c r="C29" s="243"/>
      <c r="D29" s="242">
        <f t="shared" si="16"/>
        <v>1.2307692307692308</v>
      </c>
      <c r="E29" s="243"/>
      <c r="F29" s="242">
        <f t="shared" si="0"/>
        <v>5.4733333333333336</v>
      </c>
      <c r="G29" s="243"/>
      <c r="H29" s="46"/>
      <c r="I29" s="38">
        <f t="shared" si="17"/>
        <v>0.18270401948842874</v>
      </c>
      <c r="J29" s="242">
        <f t="shared" si="1"/>
        <v>1.370769230769231</v>
      </c>
      <c r="K29" s="243"/>
      <c r="L29" s="38">
        <f t="shared" si="18"/>
        <v>0.72951739618406275</v>
      </c>
      <c r="M29" s="242">
        <f t="shared" si="10"/>
        <v>4.5819668023802063</v>
      </c>
      <c r="N29" s="243"/>
      <c r="O29" s="242">
        <f t="shared" si="2"/>
        <v>4.5235616438356159</v>
      </c>
      <c r="P29" s="243"/>
      <c r="Q29" s="45">
        <f t="shared" si="3"/>
        <v>0</v>
      </c>
      <c r="R29" s="38">
        <f t="shared" si="4"/>
        <v>4.5235616438356159</v>
      </c>
      <c r="S29" s="38">
        <f t="shared" si="11"/>
        <v>0.22106474471564413</v>
      </c>
      <c r="T29" s="38">
        <v>0</v>
      </c>
      <c r="U29" s="38">
        <v>0</v>
      </c>
      <c r="V29" s="242">
        <f t="shared" si="12"/>
        <v>0</v>
      </c>
      <c r="W29" s="243"/>
      <c r="X29" s="46"/>
      <c r="Y29" s="38">
        <f t="shared" si="13"/>
        <v>0</v>
      </c>
      <c r="Z29" s="38">
        <f t="shared" si="5"/>
        <v>0.22106474471564413</v>
      </c>
      <c r="AA29" s="38"/>
      <c r="AB29" s="100">
        <f t="shared" si="6"/>
        <v>4.6035616438356159</v>
      </c>
      <c r="AC29" s="100"/>
      <c r="AD29" s="39">
        <f t="shared" si="7"/>
        <v>4.5999999999999996</v>
      </c>
      <c r="AL29" s="78">
        <f t="shared" si="14"/>
        <v>160</v>
      </c>
      <c r="AM29" s="52">
        <f t="shared" si="15"/>
        <v>4.6035616438356159</v>
      </c>
    </row>
    <row r="30" spans="1:39" ht="13.5" customHeight="1" x14ac:dyDescent="0.25">
      <c r="A30" s="23">
        <f t="shared" si="19"/>
        <v>170</v>
      </c>
      <c r="B30" s="242">
        <f t="shared" si="9"/>
        <v>5.666666666666667</v>
      </c>
      <c r="C30" s="243"/>
      <c r="D30" s="242">
        <f t="shared" si="16"/>
        <v>1.3076923076923077</v>
      </c>
      <c r="E30" s="243"/>
      <c r="F30" s="242">
        <f t="shared" si="0"/>
        <v>5.8066666666666666</v>
      </c>
      <c r="G30" s="243"/>
      <c r="H30" s="46"/>
      <c r="I30" s="38">
        <f t="shared" si="17"/>
        <v>0.17221584385763491</v>
      </c>
      <c r="J30" s="242">
        <f t="shared" si="1"/>
        <v>1.4476923076923078</v>
      </c>
      <c r="K30" s="243"/>
      <c r="L30" s="38">
        <f t="shared" si="18"/>
        <v>0.69075451647183839</v>
      </c>
      <c r="M30" s="242">
        <f t="shared" si="10"/>
        <v>4.8562346319063847</v>
      </c>
      <c r="N30" s="243"/>
      <c r="O30" s="242">
        <f t="shared" si="2"/>
        <v>4.7975342465753421</v>
      </c>
      <c r="P30" s="243"/>
      <c r="Q30" s="45">
        <f t="shared" si="3"/>
        <v>0</v>
      </c>
      <c r="R30" s="38">
        <f t="shared" si="4"/>
        <v>4.7975342465753421</v>
      </c>
      <c r="S30" s="38">
        <f t="shared" si="11"/>
        <v>0.2084404088858432</v>
      </c>
      <c r="T30" s="38">
        <v>0</v>
      </c>
      <c r="U30" s="38">
        <v>0</v>
      </c>
      <c r="V30" s="242">
        <f t="shared" si="12"/>
        <v>0</v>
      </c>
      <c r="W30" s="243"/>
      <c r="X30" s="46"/>
      <c r="Y30" s="38">
        <f t="shared" si="13"/>
        <v>0</v>
      </c>
      <c r="Z30" s="38">
        <f t="shared" si="5"/>
        <v>0.2084404088858432</v>
      </c>
      <c r="AA30" s="38"/>
      <c r="AB30" s="100">
        <f t="shared" si="6"/>
        <v>4.8775342465753422</v>
      </c>
      <c r="AC30" s="100"/>
      <c r="AD30" s="39">
        <f t="shared" si="7"/>
        <v>4.9000000000000004</v>
      </c>
      <c r="AL30" s="78">
        <f t="shared" si="14"/>
        <v>170</v>
      </c>
      <c r="AM30" s="52">
        <f t="shared" si="15"/>
        <v>4.8775342465753422</v>
      </c>
    </row>
    <row r="31" spans="1:39" ht="13.5" customHeight="1" x14ac:dyDescent="0.25">
      <c r="A31" s="23">
        <f t="shared" si="19"/>
        <v>180</v>
      </c>
      <c r="B31" s="242">
        <f t="shared" si="9"/>
        <v>6</v>
      </c>
      <c r="C31" s="243"/>
      <c r="D31" s="242">
        <f t="shared" si="16"/>
        <v>1.3846153846153846</v>
      </c>
      <c r="E31" s="243"/>
      <c r="F31" s="242">
        <f t="shared" si="0"/>
        <v>6.14</v>
      </c>
      <c r="G31" s="243"/>
      <c r="H31" s="46"/>
      <c r="I31" s="38">
        <f t="shared" si="17"/>
        <v>0.16286644951140067</v>
      </c>
      <c r="J31" s="242">
        <f t="shared" si="1"/>
        <v>1.5246153846153847</v>
      </c>
      <c r="K31" s="243"/>
      <c r="L31" s="38">
        <f t="shared" si="18"/>
        <v>0.65590312815338037</v>
      </c>
      <c r="M31" s="242">
        <f t="shared" si="10"/>
        <v>5.1304721753794258</v>
      </c>
      <c r="N31" s="243"/>
      <c r="O31" s="242">
        <f t="shared" si="2"/>
        <v>5.0715068493150675</v>
      </c>
      <c r="P31" s="243"/>
      <c r="Q31" s="45">
        <f t="shared" si="3"/>
        <v>0</v>
      </c>
      <c r="R31" s="38">
        <f t="shared" si="4"/>
        <v>5.0715068493150675</v>
      </c>
      <c r="S31" s="38">
        <f t="shared" si="11"/>
        <v>0.1971800551023716</v>
      </c>
      <c r="T31" s="38">
        <v>0</v>
      </c>
      <c r="U31" s="38">
        <v>0</v>
      </c>
      <c r="V31" s="242">
        <f t="shared" si="12"/>
        <v>0</v>
      </c>
      <c r="W31" s="243"/>
      <c r="X31" s="46"/>
      <c r="Y31" s="38">
        <f t="shared" si="13"/>
        <v>0</v>
      </c>
      <c r="Z31" s="38">
        <f t="shared" si="5"/>
        <v>0.1971800551023716</v>
      </c>
      <c r="AA31" s="38"/>
      <c r="AB31" s="100">
        <f t="shared" si="6"/>
        <v>5.1515068493150675</v>
      </c>
      <c r="AC31" s="100"/>
      <c r="AD31" s="39">
        <f t="shared" si="7"/>
        <v>5.2</v>
      </c>
      <c r="AL31" s="78">
        <f t="shared" si="14"/>
        <v>180</v>
      </c>
      <c r="AM31" s="52">
        <f t="shared" si="15"/>
        <v>5.1515068493150675</v>
      </c>
    </row>
    <row r="32" spans="1:39" ht="13.5" customHeight="1" x14ac:dyDescent="0.25">
      <c r="A32" s="23">
        <f t="shared" si="19"/>
        <v>190</v>
      </c>
      <c r="B32" s="242">
        <f t="shared" si="9"/>
        <v>6.3333333333333339</v>
      </c>
      <c r="C32" s="243"/>
      <c r="D32" s="242">
        <f t="shared" si="16"/>
        <v>1.4615384615384615</v>
      </c>
      <c r="E32" s="243"/>
      <c r="F32" s="242">
        <f t="shared" si="0"/>
        <v>6.4733333333333336</v>
      </c>
      <c r="G32" s="243"/>
      <c r="H32" s="46"/>
      <c r="I32" s="38">
        <f t="shared" si="17"/>
        <v>0.15447991761071059</v>
      </c>
      <c r="J32" s="242">
        <f t="shared" si="1"/>
        <v>1.6015384615384616</v>
      </c>
      <c r="K32" s="243"/>
      <c r="L32" s="38">
        <f t="shared" si="18"/>
        <v>0.62439961575408265</v>
      </c>
      <c r="M32" s="242">
        <f t="shared" si="10"/>
        <v>5.404683865793344</v>
      </c>
      <c r="N32" s="243"/>
      <c r="O32" s="242">
        <f t="shared" si="2"/>
        <v>5.3454794520547937</v>
      </c>
      <c r="P32" s="243"/>
      <c r="Q32" s="45">
        <f t="shared" si="3"/>
        <v>0</v>
      </c>
      <c r="R32" s="38">
        <f t="shared" si="4"/>
        <v>5.3454794520547937</v>
      </c>
      <c r="S32" s="38">
        <f t="shared" si="11"/>
        <v>0.18707395827994466</v>
      </c>
      <c r="T32" s="38">
        <v>0</v>
      </c>
      <c r="U32" s="38">
        <v>0</v>
      </c>
      <c r="V32" s="242">
        <f t="shared" si="12"/>
        <v>0</v>
      </c>
      <c r="W32" s="243"/>
      <c r="X32" s="46"/>
      <c r="Y32" s="38">
        <f t="shared" si="13"/>
        <v>0</v>
      </c>
      <c r="Z32" s="38">
        <f t="shared" si="5"/>
        <v>0.18707395827994466</v>
      </c>
      <c r="AA32" s="38"/>
      <c r="AB32" s="100">
        <f t="shared" si="6"/>
        <v>5.4254794520547938</v>
      </c>
      <c r="AC32" s="100"/>
      <c r="AD32" s="39">
        <f t="shared" si="7"/>
        <v>5.4</v>
      </c>
      <c r="AL32" s="78">
        <f t="shared" si="14"/>
        <v>190</v>
      </c>
      <c r="AM32" s="52">
        <f t="shared" si="15"/>
        <v>5.4254794520547938</v>
      </c>
    </row>
    <row r="33" spans="1:39" ht="13.5" customHeight="1" x14ac:dyDescent="0.25">
      <c r="A33" s="23">
        <f t="shared" si="19"/>
        <v>200</v>
      </c>
      <c r="B33" s="242">
        <f t="shared" si="9"/>
        <v>6.666666666666667</v>
      </c>
      <c r="C33" s="243"/>
      <c r="D33" s="242">
        <f t="shared" si="16"/>
        <v>1.5384615384615385</v>
      </c>
      <c r="E33" s="243"/>
      <c r="F33" s="242">
        <f t="shared" si="0"/>
        <v>6.8066666666666666</v>
      </c>
      <c r="G33" s="243"/>
      <c r="H33" s="46"/>
      <c r="I33" s="38">
        <f t="shared" si="17"/>
        <v>0.14691478942213515</v>
      </c>
      <c r="J33" s="242">
        <f t="shared" si="1"/>
        <v>1.6784615384615387</v>
      </c>
      <c r="K33" s="243"/>
      <c r="L33" s="38">
        <f t="shared" si="18"/>
        <v>0.59578368469294218</v>
      </c>
      <c r="M33" s="242">
        <f t="shared" si="10"/>
        <v>5.6788733112413974</v>
      </c>
      <c r="N33" s="243"/>
      <c r="O33" s="242">
        <f t="shared" si="2"/>
        <v>5.6194520547945199</v>
      </c>
      <c r="P33" s="243"/>
      <c r="Q33" s="45">
        <f t="shared" si="3"/>
        <v>0</v>
      </c>
      <c r="R33" s="38">
        <f t="shared" si="4"/>
        <v>5.6194520547945199</v>
      </c>
      <c r="S33" s="38">
        <f t="shared" si="11"/>
        <v>0.17795329335478527</v>
      </c>
      <c r="T33" s="38">
        <v>0</v>
      </c>
      <c r="U33" s="38">
        <v>0</v>
      </c>
      <c r="V33" s="242">
        <f t="shared" si="12"/>
        <v>0</v>
      </c>
      <c r="W33" s="243"/>
      <c r="X33" s="46"/>
      <c r="Y33" s="38">
        <f t="shared" si="13"/>
        <v>0</v>
      </c>
      <c r="Z33" s="38">
        <f t="shared" si="5"/>
        <v>0.17795329335478527</v>
      </c>
      <c r="AA33" s="38"/>
      <c r="AB33" s="100">
        <f t="shared" si="6"/>
        <v>5.69945205479452</v>
      </c>
      <c r="AC33" s="100"/>
      <c r="AD33" s="39">
        <f t="shared" si="7"/>
        <v>5.7</v>
      </c>
      <c r="AL33" s="78">
        <f t="shared" si="14"/>
        <v>200</v>
      </c>
      <c r="AM33" s="52">
        <f t="shared" si="15"/>
        <v>5.69945205479452</v>
      </c>
    </row>
    <row r="34" spans="1:39" ht="13.5" customHeight="1" x14ac:dyDescent="0.25">
      <c r="A34" s="23">
        <f t="shared" si="19"/>
        <v>210</v>
      </c>
      <c r="B34" s="242">
        <f t="shared" si="9"/>
        <v>7</v>
      </c>
      <c r="C34" s="243"/>
      <c r="D34" s="242">
        <f t="shared" si="16"/>
        <v>1.6153846153846152</v>
      </c>
      <c r="E34" s="243"/>
      <c r="F34" s="242">
        <f t="shared" si="0"/>
        <v>7.14</v>
      </c>
      <c r="G34" s="243"/>
      <c r="H34" s="46"/>
      <c r="I34" s="38">
        <f t="shared" si="17"/>
        <v>0.14005602240896359</v>
      </c>
      <c r="J34" s="242">
        <f t="shared" si="1"/>
        <v>1.7553846153846153</v>
      </c>
      <c r="K34" s="243"/>
      <c r="L34" s="38">
        <f t="shared" si="18"/>
        <v>0.56967572304995617</v>
      </c>
      <c r="M34" s="242">
        <f t="shared" si="10"/>
        <v>5.9530434782608692</v>
      </c>
      <c r="N34" s="243"/>
      <c r="O34" s="242">
        <f t="shared" si="2"/>
        <v>5.8934246575342453</v>
      </c>
      <c r="P34" s="243"/>
      <c r="Q34" s="45">
        <f t="shared" si="3"/>
        <v>0</v>
      </c>
      <c r="R34" s="38">
        <f t="shared" si="4"/>
        <v>5.8934246575342453</v>
      </c>
      <c r="S34" s="38">
        <f t="shared" si="11"/>
        <v>0.16968062851564319</v>
      </c>
      <c r="T34" s="38">
        <v>0</v>
      </c>
      <c r="U34" s="38">
        <v>0</v>
      </c>
      <c r="V34" s="242">
        <f t="shared" si="12"/>
        <v>0</v>
      </c>
      <c r="W34" s="243"/>
      <c r="X34" s="46"/>
      <c r="Y34" s="38">
        <f t="shared" si="13"/>
        <v>0</v>
      </c>
      <c r="Z34" s="38">
        <f t="shared" si="5"/>
        <v>0.16968062851564319</v>
      </c>
      <c r="AA34" s="38"/>
      <c r="AB34" s="100">
        <f t="shared" si="6"/>
        <v>5.9734246575342453</v>
      </c>
      <c r="AC34" s="100"/>
      <c r="AD34" s="39">
        <f t="shared" si="7"/>
        <v>6</v>
      </c>
      <c r="AL34" s="78">
        <f t="shared" si="14"/>
        <v>210</v>
      </c>
      <c r="AM34" s="52">
        <f t="shared" si="15"/>
        <v>5.9734246575342453</v>
      </c>
    </row>
    <row r="35" spans="1:39" ht="13.5" customHeight="1" x14ac:dyDescent="0.25">
      <c r="A35" s="41">
        <f t="shared" si="19"/>
        <v>220</v>
      </c>
      <c r="B35" s="244">
        <f t="shared" si="9"/>
        <v>7.3333333333333339</v>
      </c>
      <c r="C35" s="245"/>
      <c r="D35" s="244">
        <f t="shared" si="16"/>
        <v>1.6923076923076923</v>
      </c>
      <c r="E35" s="245"/>
      <c r="F35" s="242">
        <f t="shared" si="0"/>
        <v>7.4733333333333336</v>
      </c>
      <c r="G35" s="243"/>
      <c r="H35" s="47"/>
      <c r="I35" s="48">
        <f t="shared" si="17"/>
        <v>0.13380909901873328</v>
      </c>
      <c r="J35" s="242">
        <f t="shared" si="1"/>
        <v>1.8323076923076924</v>
      </c>
      <c r="K35" s="243"/>
      <c r="L35" s="48">
        <f t="shared" si="18"/>
        <v>0.54575986565910994</v>
      </c>
      <c r="M35" s="244">
        <f t="shared" si="10"/>
        <v>6.227196828358208</v>
      </c>
      <c r="N35" s="245"/>
      <c r="O35" s="242">
        <f t="shared" si="2"/>
        <v>6.1673972602739715</v>
      </c>
      <c r="P35" s="243"/>
      <c r="Q35" s="45">
        <f t="shared" si="3"/>
        <v>0</v>
      </c>
      <c r="R35" s="38">
        <f t="shared" si="4"/>
        <v>6.1673972602739715</v>
      </c>
      <c r="S35" s="48">
        <f t="shared" si="11"/>
        <v>0.16214295233441431</v>
      </c>
      <c r="T35" s="48">
        <v>0</v>
      </c>
      <c r="U35" s="48">
        <v>0</v>
      </c>
      <c r="V35" s="244">
        <f t="shared" si="12"/>
        <v>0</v>
      </c>
      <c r="W35" s="245"/>
      <c r="X35" s="47"/>
      <c r="Y35" s="48">
        <f t="shared" si="13"/>
        <v>0</v>
      </c>
      <c r="Z35" s="48">
        <f t="shared" si="5"/>
        <v>0.16214295233441431</v>
      </c>
      <c r="AA35" s="38"/>
      <c r="AB35" s="100">
        <f t="shared" si="6"/>
        <v>6.2473972602739716</v>
      </c>
      <c r="AC35" s="100"/>
      <c r="AD35" s="39">
        <f t="shared" si="7"/>
        <v>6.2</v>
      </c>
      <c r="AL35" s="78">
        <f t="shared" si="14"/>
        <v>220</v>
      </c>
      <c r="AM35" s="52">
        <f t="shared" si="15"/>
        <v>6.2473972602739716</v>
      </c>
    </row>
    <row r="36" spans="1:39" x14ac:dyDescent="0.25">
      <c r="A36" s="246" t="s">
        <v>71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9"/>
    </row>
    <row r="37" spans="1:39" x14ac:dyDescent="0.25">
      <c r="A37" s="247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1"/>
    </row>
    <row r="38" spans="1:39" x14ac:dyDescent="0.25">
      <c r="A38" s="247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1"/>
    </row>
  </sheetData>
  <sheetProtection selectLockedCells="1"/>
  <mergeCells count="204">
    <mergeCell ref="V35:W35"/>
    <mergeCell ref="A36:A38"/>
    <mergeCell ref="B36:AD38"/>
    <mergeCell ref="B35:C35"/>
    <mergeCell ref="D35:E35"/>
    <mergeCell ref="F35:G35"/>
    <mergeCell ref="J35:K35"/>
    <mergeCell ref="M35:N35"/>
    <mergeCell ref="O35:P35"/>
    <mergeCell ref="V33:W33"/>
    <mergeCell ref="B34:C34"/>
    <mergeCell ref="D34:E34"/>
    <mergeCell ref="F34:G34"/>
    <mergeCell ref="J34:K34"/>
    <mergeCell ref="M34:N34"/>
    <mergeCell ref="O34:P34"/>
    <mergeCell ref="V34:W34"/>
    <mergeCell ref="B33:C33"/>
    <mergeCell ref="D33:E33"/>
    <mergeCell ref="F33:G33"/>
    <mergeCell ref="J33:K33"/>
    <mergeCell ref="M33:N33"/>
    <mergeCell ref="O33:P33"/>
    <mergeCell ref="V31:W31"/>
    <mergeCell ref="B32:C32"/>
    <mergeCell ref="D32:E32"/>
    <mergeCell ref="F32:G32"/>
    <mergeCell ref="J32:K32"/>
    <mergeCell ref="M32:N32"/>
    <mergeCell ref="O32:P32"/>
    <mergeCell ref="V32:W32"/>
    <mergeCell ref="B31:C31"/>
    <mergeCell ref="D31:E31"/>
    <mergeCell ref="F31:G31"/>
    <mergeCell ref="J31:K31"/>
    <mergeCell ref="M31:N31"/>
    <mergeCell ref="O31:P31"/>
    <mergeCell ref="V29:W29"/>
    <mergeCell ref="B30:C30"/>
    <mergeCell ref="D30:E30"/>
    <mergeCell ref="F30:G30"/>
    <mergeCell ref="J30:K30"/>
    <mergeCell ref="M30:N30"/>
    <mergeCell ref="O30:P30"/>
    <mergeCell ref="V30:W30"/>
    <mergeCell ref="B29:C29"/>
    <mergeCell ref="D29:E29"/>
    <mergeCell ref="F29:G29"/>
    <mergeCell ref="J29:K29"/>
    <mergeCell ref="M29:N29"/>
    <mergeCell ref="O29:P29"/>
    <mergeCell ref="V27:W27"/>
    <mergeCell ref="B28:C28"/>
    <mergeCell ref="D28:E28"/>
    <mergeCell ref="F28:G28"/>
    <mergeCell ref="J28:K28"/>
    <mergeCell ref="M28:N28"/>
    <mergeCell ref="O28:P28"/>
    <mergeCell ref="V28:W28"/>
    <mergeCell ref="B27:C27"/>
    <mergeCell ref="D27:E27"/>
    <mergeCell ref="F27:G27"/>
    <mergeCell ref="J27:K27"/>
    <mergeCell ref="M27:N27"/>
    <mergeCell ref="O27:P27"/>
    <mergeCell ref="V25:W25"/>
    <mergeCell ref="B26:C26"/>
    <mergeCell ref="D26:E26"/>
    <mergeCell ref="F26:G26"/>
    <mergeCell ref="J26:K26"/>
    <mergeCell ref="M26:N26"/>
    <mergeCell ref="O26:P26"/>
    <mergeCell ref="V26:W26"/>
    <mergeCell ref="B25:C25"/>
    <mergeCell ref="D25:E25"/>
    <mergeCell ref="F25:G25"/>
    <mergeCell ref="J25:K25"/>
    <mergeCell ref="M25:N25"/>
    <mergeCell ref="O25:P25"/>
    <mergeCell ref="V23:W23"/>
    <mergeCell ref="B24:C24"/>
    <mergeCell ref="D24:E24"/>
    <mergeCell ref="F24:G24"/>
    <mergeCell ref="J24:K24"/>
    <mergeCell ref="M24:N24"/>
    <mergeCell ref="O24:P24"/>
    <mergeCell ref="V24:W24"/>
    <mergeCell ref="B23:C23"/>
    <mergeCell ref="D23:E23"/>
    <mergeCell ref="F23:G23"/>
    <mergeCell ref="J23:K23"/>
    <mergeCell ref="M23:N23"/>
    <mergeCell ref="O23:P23"/>
    <mergeCell ref="V21:W21"/>
    <mergeCell ref="B22:C22"/>
    <mergeCell ref="D22:E22"/>
    <mergeCell ref="F22:G22"/>
    <mergeCell ref="J22:K22"/>
    <mergeCell ref="M22:N22"/>
    <mergeCell ref="O22:P22"/>
    <mergeCell ref="V22:W22"/>
    <mergeCell ref="B21:C21"/>
    <mergeCell ref="D21:E21"/>
    <mergeCell ref="F21:G21"/>
    <mergeCell ref="J21:K21"/>
    <mergeCell ref="M21:N21"/>
    <mergeCell ref="O21:P21"/>
    <mergeCell ref="V19:W19"/>
    <mergeCell ref="B20:C20"/>
    <mergeCell ref="D20:E20"/>
    <mergeCell ref="F20:G20"/>
    <mergeCell ref="J20:K20"/>
    <mergeCell ref="M20:N20"/>
    <mergeCell ref="O20:P20"/>
    <mergeCell ref="V20:W20"/>
    <mergeCell ref="B19:C19"/>
    <mergeCell ref="D19:E19"/>
    <mergeCell ref="F19:G19"/>
    <mergeCell ref="J19:K19"/>
    <mergeCell ref="M19:N19"/>
    <mergeCell ref="O19:P19"/>
    <mergeCell ref="V17:W17"/>
    <mergeCell ref="B18:C18"/>
    <mergeCell ref="D18:E18"/>
    <mergeCell ref="F18:G18"/>
    <mergeCell ref="J18:K18"/>
    <mergeCell ref="M18:N18"/>
    <mergeCell ref="O18:P18"/>
    <mergeCell ref="V18:W18"/>
    <mergeCell ref="B17:C17"/>
    <mergeCell ref="D17:E17"/>
    <mergeCell ref="F17:G17"/>
    <mergeCell ref="J17:K17"/>
    <mergeCell ref="M17:N17"/>
    <mergeCell ref="O17:P17"/>
    <mergeCell ref="Z13:Z16"/>
    <mergeCell ref="AD13:AD16"/>
    <mergeCell ref="B14:C16"/>
    <mergeCell ref="D14:E16"/>
    <mergeCell ref="M15:N16"/>
    <mergeCell ref="Q15:Q16"/>
    <mergeCell ref="R15:R16"/>
    <mergeCell ref="S15:S16"/>
    <mergeCell ref="G16:H16"/>
    <mergeCell ref="Z8:Z12"/>
    <mergeCell ref="AA8:AC12"/>
    <mergeCell ref="AD8:AD12"/>
    <mergeCell ref="M12:M14"/>
    <mergeCell ref="N12:N14"/>
    <mergeCell ref="I13:I16"/>
    <mergeCell ref="J13:K15"/>
    <mergeCell ref="L13:L16"/>
    <mergeCell ref="O13:P13"/>
    <mergeCell ref="T13:T16"/>
    <mergeCell ref="S8:S14"/>
    <mergeCell ref="T8:T12"/>
    <mergeCell ref="U8:U12"/>
    <mergeCell ref="V8:W13"/>
    <mergeCell ref="X8:X13"/>
    <mergeCell ref="Y8:Y12"/>
    <mergeCell ref="U13:U16"/>
    <mergeCell ref="Y13:Y16"/>
    <mergeCell ref="L8:L12"/>
    <mergeCell ref="M8:M11"/>
    <mergeCell ref="N8:N11"/>
    <mergeCell ref="O8:P12"/>
    <mergeCell ref="Q8:Q14"/>
    <mergeCell ref="R8:R14"/>
    <mergeCell ref="V6:X6"/>
    <mergeCell ref="AA6:AC6"/>
    <mergeCell ref="B7:C7"/>
    <mergeCell ref="F7:H7"/>
    <mergeCell ref="J7:K7"/>
    <mergeCell ref="M7:N7"/>
    <mergeCell ref="O7:P7"/>
    <mergeCell ref="V7:X7"/>
    <mergeCell ref="AA7:AC7"/>
    <mergeCell ref="B6:C6"/>
    <mergeCell ref="D6:E6"/>
    <mergeCell ref="F6:H6"/>
    <mergeCell ref="J6:K6"/>
    <mergeCell ref="M6:N6"/>
    <mergeCell ref="A8:A16"/>
    <mergeCell ref="B8:C12"/>
    <mergeCell ref="D8:E12"/>
    <mergeCell ref="F8:H12"/>
    <mergeCell ref="I8:I12"/>
    <mergeCell ref="J8:K12"/>
    <mergeCell ref="A1:G1"/>
    <mergeCell ref="I1:P2"/>
    <mergeCell ref="Q1:R2"/>
    <mergeCell ref="O6:P6"/>
    <mergeCell ref="S1:AD2"/>
    <mergeCell ref="F2:G2"/>
    <mergeCell ref="A3:G3"/>
    <mergeCell ref="H3:K3"/>
    <mergeCell ref="M3:R3"/>
    <mergeCell ref="S3:AD5"/>
    <mergeCell ref="A4:G4"/>
    <mergeCell ref="H4:K4"/>
    <mergeCell ref="M4:R4"/>
    <mergeCell ref="A5:I5"/>
    <mergeCell ref="J5:K5"/>
    <mergeCell ref="M5:R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 sizeWithCells="1">
                  <from>
                    <xdr:col>3</xdr:col>
                    <xdr:colOff>9525</xdr:colOff>
                    <xdr:row>0</xdr:row>
                    <xdr:rowOff>0</xdr:rowOff>
                  </from>
                  <to>
                    <xdr:col>7</xdr:col>
                    <xdr:colOff>552450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Drop Down 2">
              <controlPr defaultSize="0" autoLine="0" autoPict="0">
                <anchor moveWithCells="1" sizeWithCells="1">
                  <from>
                    <xdr:col>3</xdr:col>
                    <xdr:colOff>9525</xdr:colOff>
                    <xdr:row>2</xdr:row>
                    <xdr:rowOff>0</xdr:rowOff>
                  </from>
                  <to>
                    <xdr:col>7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Drop Down 3">
              <controlPr defaultSize="0" autoLine="0" autoPict="0">
                <anchor moveWithCells="1" sizeWithCells="1">
                  <from>
                    <xdr:col>8</xdr:col>
                    <xdr:colOff>133350</xdr:colOff>
                    <xdr:row>3</xdr:row>
                    <xdr:rowOff>219075</xdr:rowOff>
                  </from>
                  <to>
                    <xdr:col>9</xdr:col>
                    <xdr:colOff>19050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776A3F504744AA75FEC82873877AB" ma:contentTypeVersion="17" ma:contentTypeDescription="Een nieuw document maken." ma:contentTypeScope="" ma:versionID="70fe99ab3252305ec5cdc35d7e10165b">
  <xsd:schema xmlns:xsd="http://www.w3.org/2001/XMLSchema" xmlns:xs="http://www.w3.org/2001/XMLSchema" xmlns:p="http://schemas.microsoft.com/office/2006/metadata/properties" xmlns:ns2="498d7859-1373-4bf9-8fa2-88423381b8d8" xmlns:ns3="fb2daf79-e58f-48d4-9425-3217bcb3a064" targetNamespace="http://schemas.microsoft.com/office/2006/metadata/properties" ma:root="true" ma:fieldsID="175d2f329eac993076908d9d66c4779e" ns2:_="" ns3:_="">
    <xsd:import namespace="498d7859-1373-4bf9-8fa2-88423381b8d8"/>
    <xsd:import namespace="fb2daf79-e58f-48d4-9425-3217bcb3a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d7859-1373-4bf9-8fa2-88423381b8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59e7ef6-fd9c-4595-8349-21eaa9254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af79-e58f-48d4-9425-3217bcb3a06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dfa265-16fe-4d32-b185-8ee7da6b9246}" ma:internalName="TaxCatchAll" ma:showField="CatchAllData" ma:web="fb2daf79-e58f-48d4-9425-3217bcb3a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8d7859-1373-4bf9-8fa2-88423381b8d8">
      <Terms xmlns="http://schemas.microsoft.com/office/infopath/2007/PartnerControls"/>
    </lcf76f155ced4ddcb4097134ff3c332f>
    <TaxCatchAll xmlns="fb2daf79-e58f-48d4-9425-3217bcb3a064" xsi:nil="true"/>
  </documentManagement>
</p:properties>
</file>

<file path=customXml/itemProps1.xml><?xml version="1.0" encoding="utf-8"?>
<ds:datastoreItem xmlns:ds="http://schemas.openxmlformats.org/officeDocument/2006/customXml" ds:itemID="{39F8B5A7-B1AE-4A55-91EB-CBCB8799F371}"/>
</file>

<file path=customXml/itemProps2.xml><?xml version="1.0" encoding="utf-8"?>
<ds:datastoreItem xmlns:ds="http://schemas.openxmlformats.org/officeDocument/2006/customXml" ds:itemID="{289C0E39-7A13-47BB-9A97-CD49C3BC29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6BB48-F289-4520-A0F0-F3AE20D6556B}">
  <ds:schemaRefs>
    <ds:schemaRef ds:uri="http://www.w3.org/XML/1998/namespace"/>
    <ds:schemaRef ds:uri="http://schemas.microsoft.com/office/2006/documentManagement/types"/>
    <ds:schemaRef ds:uri="http://purl.org/dc/dcmitype/"/>
    <ds:schemaRef ds:uri="498d7859-1373-4bf9-8fa2-88423381b8d8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b2daf79-e58f-48d4-9425-3217bcb3a0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Rc-waarden verklaring</vt:lpstr>
      <vt:lpstr>Lambda D</vt:lpstr>
      <vt:lpstr>Gevel</vt:lpstr>
      <vt:lpstr>Vloer</vt:lpstr>
      <vt:lpstr>Dak ononderbroken</vt:lpstr>
      <vt:lpstr>Dak tussen de gordingen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Ramon Albrecht | BCRG</cp:lastModifiedBy>
  <dcterms:created xsi:type="dcterms:W3CDTF">2020-07-02T09:00:24Z</dcterms:created>
  <dcterms:modified xsi:type="dcterms:W3CDTF">2025-07-01T07:22:42Z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0x010100CCA776A3F504744AA75FEC82873877AB</vt:lpwstr>
  </property>
  <property fmtid="{D5CDD505-2E9C-101B-9397-08002B2CF9AE}" pid="3" name="MediaServiceImageTags">
    <vt:lpwstr/>
  </property>
</Properties>
</file>