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ureaucrg.sharepoint.com/sites/algemeen/Gedeelde documenten/General/formats aanleveren documenten/isolatie/Aanvraag voor Controle Isolatiemateriaal/Rekentools/Isolatie algemeen/2024/"/>
    </mc:Choice>
  </mc:AlternateContent>
  <xr:revisionPtr revIDLastSave="97" documentId="8_{FF850E05-937E-4EF0-981B-0F8740413190}" xr6:coauthVersionLast="47" xr6:coauthVersionMax="47" xr10:uidLastSave="{DA394DA8-01E7-4322-89C1-B5C1443B38E9}"/>
  <bookViews>
    <workbookView xWindow="6135" yWindow="1635" windowWidth="21600" windowHeight="11325" activeTab="2" xr2:uid="{00000000-000D-0000-FFFF-FFFF00000000}"/>
  </bookViews>
  <sheets>
    <sheet name="Rc-waarden verklaring" sheetId="12" r:id="rId1"/>
    <sheet name="Lambda D" sheetId="14" r:id="rId2"/>
    <sheet name="Gevel" sheetId="15" r:id="rId3"/>
    <sheet name="Vloer" sheetId="18" r:id="rId4"/>
    <sheet name="Dak ononderbroken" sheetId="19" r:id="rId5"/>
    <sheet name="Dak tussen de gordingen" sheetId="2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6" i="15" l="1"/>
  <c r="A18" i="19"/>
  <c r="A19" i="19" s="1"/>
  <c r="D17" i="19"/>
  <c r="J17" i="19" s="1"/>
  <c r="L17" i="19" s="1"/>
  <c r="B17" i="19"/>
  <c r="F17" i="19" s="1"/>
  <c r="I17" i="19" s="1"/>
  <c r="D18" i="19" l="1"/>
  <c r="J18" i="19" s="1"/>
  <c r="L18" i="19" s="1"/>
  <c r="B19" i="19"/>
  <c r="D19" i="19"/>
  <c r="J19" i="19" s="1"/>
  <c r="L19" i="19" s="1"/>
  <c r="B18" i="19"/>
  <c r="A18" i="20"/>
  <c r="D17" i="20"/>
  <c r="W16" i="20"/>
  <c r="X16" i="20" s="1"/>
  <c r="K16" i="20"/>
  <c r="G16" i="20" s="1"/>
  <c r="M12" i="20" s="1"/>
  <c r="X15" i="20"/>
  <c r="W14" i="20"/>
  <c r="X14" i="20" s="1"/>
  <c r="C13" i="20"/>
  <c r="B17" i="20" s="1"/>
  <c r="AG6" i="20"/>
  <c r="W15" i="20" s="1"/>
  <c r="AN5" i="20"/>
  <c r="AN6" i="20" s="1"/>
  <c r="M5" i="20"/>
  <c r="J5" i="20"/>
  <c r="M4" i="20"/>
  <c r="H4" i="20"/>
  <c r="M3" i="20"/>
  <c r="AG2" i="20"/>
  <c r="D21" i="19"/>
  <c r="A21" i="19"/>
  <c r="A22" i="19" s="1"/>
  <c r="D20" i="19"/>
  <c r="W16" i="19"/>
  <c r="X16" i="19" s="1"/>
  <c r="K16" i="19"/>
  <c r="O15" i="19" s="1"/>
  <c r="W14" i="19"/>
  <c r="X14" i="19" s="1"/>
  <c r="C13" i="19"/>
  <c r="B20" i="19" s="1"/>
  <c r="AG6" i="19"/>
  <c r="AG7" i="19" s="1"/>
  <c r="AN5" i="19"/>
  <c r="AN6" i="19" s="1"/>
  <c r="M5" i="19"/>
  <c r="J5" i="19"/>
  <c r="M4" i="19"/>
  <c r="H4" i="19"/>
  <c r="M3" i="19"/>
  <c r="AG2" i="19"/>
  <c r="D19" i="18"/>
  <c r="A18" i="18"/>
  <c r="A19" i="18" s="1"/>
  <c r="B19" i="18" s="1"/>
  <c r="D17" i="18"/>
  <c r="W16" i="18"/>
  <c r="X16" i="18" s="1"/>
  <c r="K16" i="18"/>
  <c r="G16" i="18"/>
  <c r="X15" i="18"/>
  <c r="W14" i="18"/>
  <c r="X14" i="18" s="1"/>
  <c r="C13" i="18"/>
  <c r="AG6" i="18"/>
  <c r="W15" i="18" s="1"/>
  <c r="V25" i="18" s="1"/>
  <c r="Y25" i="18" s="1"/>
  <c r="AN5" i="18"/>
  <c r="AN6" i="18" s="1"/>
  <c r="M5" i="18"/>
  <c r="J5" i="18"/>
  <c r="M4" i="18"/>
  <c r="H4" i="18"/>
  <c r="M3" i="18"/>
  <c r="AG2" i="18"/>
  <c r="A18" i="15"/>
  <c r="A19" i="15" s="1"/>
  <c r="D17" i="15"/>
  <c r="W16" i="15"/>
  <c r="X16" i="15" s="1"/>
  <c r="K16" i="15"/>
  <c r="N12" i="15" s="1"/>
  <c r="W14" i="15"/>
  <c r="X14" i="15" s="1"/>
  <c r="AG6" i="15"/>
  <c r="AG7" i="15" s="1"/>
  <c r="AN5" i="15"/>
  <c r="AN6" i="15" s="1"/>
  <c r="M5" i="15"/>
  <c r="J5" i="15"/>
  <c r="M4" i="15"/>
  <c r="H4" i="15"/>
  <c r="M3" i="15"/>
  <c r="AG2" i="15"/>
  <c r="C13" i="15"/>
  <c r="F18" i="19" l="1"/>
  <c r="I18" i="19" s="1"/>
  <c r="F19" i="19"/>
  <c r="I19" i="19" s="1"/>
  <c r="X15" i="19"/>
  <c r="N12" i="19"/>
  <c r="N12" i="20"/>
  <c r="AG7" i="20"/>
  <c r="B18" i="20"/>
  <c r="B21" i="19"/>
  <c r="W15" i="19"/>
  <c r="D18" i="18"/>
  <c r="V24" i="18"/>
  <c r="Y24" i="18" s="1"/>
  <c r="O15" i="20"/>
  <c r="A19" i="20"/>
  <c r="D18" i="20"/>
  <c r="O14" i="20"/>
  <c r="AG3" i="20"/>
  <c r="B22" i="19"/>
  <c r="G16" i="19"/>
  <c r="D22" i="19"/>
  <c r="A23" i="19"/>
  <c r="AG3" i="19"/>
  <c r="AG4" i="19" s="1"/>
  <c r="V17" i="18"/>
  <c r="Y17" i="18" s="1"/>
  <c r="B17" i="18"/>
  <c r="M12" i="18"/>
  <c r="O14" i="18"/>
  <c r="V32" i="18"/>
  <c r="Y32" i="18" s="1"/>
  <c r="A20" i="18"/>
  <c r="N12" i="18"/>
  <c r="O15" i="18"/>
  <c r="AG3" i="18"/>
  <c r="AG4" i="18" s="1"/>
  <c r="AB16" i="18"/>
  <c r="G13" i="18"/>
  <c r="G14" i="18"/>
  <c r="V31" i="18"/>
  <c r="Y31" i="18" s="1"/>
  <c r="V23" i="18"/>
  <c r="Y23" i="18" s="1"/>
  <c r="V30" i="18"/>
  <c r="Y30" i="18" s="1"/>
  <c r="V22" i="18"/>
  <c r="Y22" i="18" s="1"/>
  <c r="V26" i="18"/>
  <c r="Y26" i="18" s="1"/>
  <c r="V29" i="18"/>
  <c r="Y29" i="18" s="1"/>
  <c r="V21" i="18"/>
  <c r="Y21" i="18" s="1"/>
  <c r="V35" i="18"/>
  <c r="Y35" i="18" s="1"/>
  <c r="V27" i="18"/>
  <c r="Y27" i="18" s="1"/>
  <c r="V19" i="18"/>
  <c r="Y19" i="18" s="1"/>
  <c r="V34" i="18"/>
  <c r="Y34" i="18" s="1"/>
  <c r="V28" i="18"/>
  <c r="Y28" i="18" s="1"/>
  <c r="V20" i="18"/>
  <c r="Y20" i="18" s="1"/>
  <c r="V18" i="18"/>
  <c r="Y18" i="18" s="1"/>
  <c r="V33" i="18"/>
  <c r="Y33" i="18" s="1"/>
  <c r="AG7" i="18"/>
  <c r="B18" i="18"/>
  <c r="W15" i="15"/>
  <c r="X15" i="15"/>
  <c r="D18" i="15"/>
  <c r="O15" i="15"/>
  <c r="G16" i="15"/>
  <c r="D19" i="15"/>
  <c r="A20" i="15"/>
  <c r="B19" i="15"/>
  <c r="B17" i="15"/>
  <c r="AG3" i="15"/>
  <c r="B18" i="15"/>
  <c r="O17" i="19" l="1"/>
  <c r="M17" i="19"/>
  <c r="Q17" i="19" s="1"/>
  <c r="R17" i="19" s="1"/>
  <c r="O19" i="19"/>
  <c r="O18" i="19"/>
  <c r="M19" i="19"/>
  <c r="M18" i="19"/>
  <c r="AB16" i="19"/>
  <c r="G13" i="19"/>
  <c r="O22" i="19" s="1"/>
  <c r="G14" i="19"/>
  <c r="AG4" i="20"/>
  <c r="G14" i="20" s="1"/>
  <c r="G13" i="20"/>
  <c r="D19" i="20"/>
  <c r="A20" i="20"/>
  <c r="B19" i="20"/>
  <c r="M12" i="19"/>
  <c r="O14" i="19"/>
  <c r="D23" i="19"/>
  <c r="A24" i="19"/>
  <c r="B23" i="19"/>
  <c r="F18" i="18"/>
  <c r="I18" i="18" s="1"/>
  <c r="J18" i="18"/>
  <c r="L18" i="18" s="1"/>
  <c r="D20" i="18"/>
  <c r="J20" i="18" s="1"/>
  <c r="L20" i="18" s="1"/>
  <c r="O20" i="18"/>
  <c r="B20" i="18"/>
  <c r="F20" i="18" s="1"/>
  <c r="I20" i="18" s="1"/>
  <c r="M20" i="18" s="1"/>
  <c r="Q20" i="18" s="1"/>
  <c r="R20" i="18" s="1"/>
  <c r="S20" i="18" s="1"/>
  <c r="Z20" i="18" s="1"/>
  <c r="AB20" i="18" s="1"/>
  <c r="AD20" i="18" s="1"/>
  <c r="A21" i="18"/>
  <c r="J17" i="18"/>
  <c r="L17" i="18" s="1"/>
  <c r="O19" i="18"/>
  <c r="F19" i="18"/>
  <c r="I19" i="18" s="1"/>
  <c r="O17" i="18"/>
  <c r="J19" i="18"/>
  <c r="L19" i="18" s="1"/>
  <c r="O18" i="18"/>
  <c r="F17" i="18"/>
  <c r="I17" i="18" s="1"/>
  <c r="AG4" i="15"/>
  <c r="G13" i="15"/>
  <c r="G14" i="15"/>
  <c r="M12" i="15"/>
  <c r="O14" i="15"/>
  <c r="D20" i="15"/>
  <c r="A21" i="15"/>
  <c r="B20" i="15"/>
  <c r="Q18" i="19" l="1"/>
  <c r="R18" i="19" s="1"/>
  <c r="S18" i="19" s="1"/>
  <c r="V18" i="19"/>
  <c r="Y18" i="19" s="1"/>
  <c r="Z18" i="19" s="1"/>
  <c r="AB18" i="19" s="1"/>
  <c r="AD18" i="19" s="1"/>
  <c r="S17" i="19"/>
  <c r="V17" i="19"/>
  <c r="Y17" i="19" s="1"/>
  <c r="Z17" i="19" s="1"/>
  <c r="AB17" i="19" s="1"/>
  <c r="AD17" i="19" s="1"/>
  <c r="Q19" i="19"/>
  <c r="R19" i="19" s="1"/>
  <c r="J22" i="19"/>
  <c r="L22" i="19" s="1"/>
  <c r="F20" i="19"/>
  <c r="I20" i="19" s="1"/>
  <c r="J21" i="19"/>
  <c r="L21" i="19" s="1"/>
  <c r="J20" i="19"/>
  <c r="L20" i="19" s="1"/>
  <c r="M20" i="19" s="1"/>
  <c r="F23" i="19"/>
  <c r="I23" i="19" s="1"/>
  <c r="J23" i="19"/>
  <c r="L23" i="19" s="1"/>
  <c r="O20" i="19"/>
  <c r="O21" i="19"/>
  <c r="F21" i="19"/>
  <c r="I21" i="19" s="1"/>
  <c r="O23" i="19"/>
  <c r="F22" i="19"/>
  <c r="I22" i="19" s="1"/>
  <c r="M22" i="19" s="1"/>
  <c r="Q22" i="19" s="1"/>
  <c r="R22" i="19" s="1"/>
  <c r="F18" i="20"/>
  <c r="I18" i="20" s="1"/>
  <c r="F17" i="20"/>
  <c r="I17" i="20" s="1"/>
  <c r="O18" i="20"/>
  <c r="J17" i="20"/>
  <c r="L17" i="20" s="1"/>
  <c r="O17" i="20"/>
  <c r="O19" i="20"/>
  <c r="F19" i="20"/>
  <c r="I19" i="20" s="1"/>
  <c r="A21" i="20"/>
  <c r="B20" i="20"/>
  <c r="F20" i="20" s="1"/>
  <c r="I20" i="20" s="1"/>
  <c r="D20" i="20"/>
  <c r="J20" i="20" s="1"/>
  <c r="L20" i="20" s="1"/>
  <c r="O20" i="20"/>
  <c r="J19" i="20"/>
  <c r="L19" i="20" s="1"/>
  <c r="J18" i="20"/>
  <c r="L18" i="20" s="1"/>
  <c r="AB16" i="20"/>
  <c r="B24" i="19"/>
  <c r="F24" i="19" s="1"/>
  <c r="I24" i="19" s="1"/>
  <c r="A25" i="19"/>
  <c r="D24" i="19"/>
  <c r="J24" i="19" s="1"/>
  <c r="L24" i="19" s="1"/>
  <c r="O24" i="19"/>
  <c r="B21" i="18"/>
  <c r="F21" i="18" s="1"/>
  <c r="I21" i="18" s="1"/>
  <c r="D21" i="18"/>
  <c r="J21" i="18" s="1"/>
  <c r="L21" i="18" s="1"/>
  <c r="A22" i="18"/>
  <c r="O21" i="18"/>
  <c r="M17" i="18"/>
  <c r="Q17" i="18" s="1"/>
  <c r="R17" i="18" s="1"/>
  <c r="S17" i="18" s="1"/>
  <c r="Z17" i="18" s="1"/>
  <c r="AB17" i="18" s="1"/>
  <c r="AD17" i="18" s="1"/>
  <c r="M19" i="18"/>
  <c r="Q19" i="18" s="1"/>
  <c r="R19" i="18" s="1"/>
  <c r="S19" i="18" s="1"/>
  <c r="Z19" i="18" s="1"/>
  <c r="AB19" i="18" s="1"/>
  <c r="AD19" i="18" s="1"/>
  <c r="M18" i="18"/>
  <c r="Q18" i="18" s="1"/>
  <c r="R18" i="18" s="1"/>
  <c r="S18" i="18" s="1"/>
  <c r="Z18" i="18" s="1"/>
  <c r="AB18" i="18" s="1"/>
  <c r="AD18" i="18" s="1"/>
  <c r="J18" i="15"/>
  <c r="L18" i="15" s="1"/>
  <c r="O18" i="15"/>
  <c r="F17" i="15"/>
  <c r="I17" i="15" s="1"/>
  <c r="J19" i="15"/>
  <c r="L19" i="15" s="1"/>
  <c r="O17" i="15"/>
  <c r="O20" i="15"/>
  <c r="J17" i="15"/>
  <c r="L17" i="15" s="1"/>
  <c r="O21" i="15"/>
  <c r="O19" i="15"/>
  <c r="F20" i="15"/>
  <c r="I20" i="15" s="1"/>
  <c r="F18" i="15"/>
  <c r="I18" i="15" s="1"/>
  <c r="F19" i="15"/>
  <c r="I19" i="15" s="1"/>
  <c r="J20" i="15"/>
  <c r="L20" i="15" s="1"/>
  <c r="D21" i="15"/>
  <c r="A22" i="15"/>
  <c r="O22" i="15" s="1"/>
  <c r="B21" i="15"/>
  <c r="F21" i="15" s="1"/>
  <c r="S19" i="19" l="1"/>
  <c r="V19" i="19"/>
  <c r="Y19" i="19" s="1"/>
  <c r="Z19" i="19" s="1"/>
  <c r="AB19" i="19" s="1"/>
  <c r="AD19" i="19" s="1"/>
  <c r="Q20" i="19"/>
  <c r="R20" i="19" s="1"/>
  <c r="S20" i="19" s="1"/>
  <c r="M23" i="19"/>
  <c r="Q23" i="19" s="1"/>
  <c r="R23" i="19" s="1"/>
  <c r="S22" i="19"/>
  <c r="V22" i="19"/>
  <c r="Y22" i="19" s="1"/>
  <c r="M21" i="19"/>
  <c r="Q21" i="19" s="1"/>
  <c r="R21" i="19" s="1"/>
  <c r="M20" i="20"/>
  <c r="Q20" i="20" s="1"/>
  <c r="R20" i="20" s="1"/>
  <c r="D21" i="20"/>
  <c r="J21" i="20" s="1"/>
  <c r="L21" i="20" s="1"/>
  <c r="A22" i="20"/>
  <c r="B21" i="20"/>
  <c r="F21" i="20" s="1"/>
  <c r="I21" i="20" s="1"/>
  <c r="O21" i="20"/>
  <c r="M19" i="20"/>
  <c r="Q19" i="20" s="1"/>
  <c r="R19" i="20" s="1"/>
  <c r="M17" i="20"/>
  <c r="Q17" i="20" s="1"/>
  <c r="R17" i="20" s="1"/>
  <c r="M18" i="20"/>
  <c r="Q18" i="20" s="1"/>
  <c r="R18" i="20" s="1"/>
  <c r="O25" i="19"/>
  <c r="D25" i="19"/>
  <c r="J25" i="19" s="1"/>
  <c r="L25" i="19" s="1"/>
  <c r="A26" i="19"/>
  <c r="B25" i="19"/>
  <c r="F25" i="19" s="1"/>
  <c r="I25" i="19" s="1"/>
  <c r="M24" i="19"/>
  <c r="Q24" i="19" s="1"/>
  <c r="R24" i="19" s="1"/>
  <c r="D22" i="18"/>
  <c r="J22" i="18" s="1"/>
  <c r="L22" i="18" s="1"/>
  <c r="O22" i="18"/>
  <c r="A23" i="18"/>
  <c r="B22" i="18"/>
  <c r="F22" i="18" s="1"/>
  <c r="I22" i="18" s="1"/>
  <c r="M21" i="18"/>
  <c r="Q21" i="18" s="1"/>
  <c r="R21" i="18" s="1"/>
  <c r="S21" i="18" s="1"/>
  <c r="Z21" i="18" s="1"/>
  <c r="AB21" i="18" s="1"/>
  <c r="AD21" i="18" s="1"/>
  <c r="M19" i="15"/>
  <c r="Q19" i="15" s="1"/>
  <c r="R19" i="15" s="1"/>
  <c r="S19" i="15" s="1"/>
  <c r="M18" i="15"/>
  <c r="Q18" i="15" s="1"/>
  <c r="R18" i="15" s="1"/>
  <c r="S18" i="15" s="1"/>
  <c r="M17" i="15"/>
  <c r="Q17" i="15" s="1"/>
  <c r="R17" i="15" s="1"/>
  <c r="S17" i="15" s="1"/>
  <c r="M20" i="15"/>
  <c r="Q20" i="15" s="1"/>
  <c r="R20" i="15" s="1"/>
  <c r="S20" i="15" s="1"/>
  <c r="J21" i="15"/>
  <c r="L21" i="15" s="1"/>
  <c r="V17" i="15"/>
  <c r="Y17" i="15" s="1"/>
  <c r="V19" i="15"/>
  <c r="Y19" i="15" s="1"/>
  <c r="I21" i="15"/>
  <c r="V18" i="15"/>
  <c r="Y18" i="15" s="1"/>
  <c r="V20" i="15"/>
  <c r="Y20" i="15" s="1"/>
  <c r="D22" i="15"/>
  <c r="A23" i="15"/>
  <c r="O23" i="15" s="1"/>
  <c r="B22" i="15"/>
  <c r="F22" i="15" s="1"/>
  <c r="V20" i="19" l="1"/>
  <c r="Y20" i="19" s="1"/>
  <c r="Z20" i="19" s="1"/>
  <c r="AB20" i="19" s="1"/>
  <c r="AD20" i="19" s="1"/>
  <c r="S23" i="19"/>
  <c r="V23" i="19"/>
  <c r="Y23" i="19" s="1"/>
  <c r="S21" i="19"/>
  <c r="V21" i="19"/>
  <c r="Y21" i="19" s="1"/>
  <c r="Z22" i="19"/>
  <c r="AB22" i="19" s="1"/>
  <c r="AD22" i="19" s="1"/>
  <c r="S24" i="19"/>
  <c r="V24" i="19"/>
  <c r="Y24" i="19" s="1"/>
  <c r="S17" i="20"/>
  <c r="V17" i="20"/>
  <c r="Y17" i="20" s="1"/>
  <c r="S18" i="20"/>
  <c r="V18" i="20"/>
  <c r="Y18" i="20" s="1"/>
  <c r="S20" i="20"/>
  <c r="V20" i="20"/>
  <c r="Y20" i="20" s="1"/>
  <c r="S19" i="20"/>
  <c r="V19" i="20"/>
  <c r="Y19" i="20" s="1"/>
  <c r="M21" i="20"/>
  <c r="Q21" i="20"/>
  <c r="R21" i="20" s="1"/>
  <c r="D22" i="20"/>
  <c r="J22" i="20" s="1"/>
  <c r="L22" i="20" s="1"/>
  <c r="A23" i="20"/>
  <c r="B22" i="20"/>
  <c r="F22" i="20" s="1"/>
  <c r="I22" i="20" s="1"/>
  <c r="O22" i="20"/>
  <c r="M25" i="19"/>
  <c r="Q25" i="19" s="1"/>
  <c r="R25" i="19" s="1"/>
  <c r="D26" i="19"/>
  <c r="J26" i="19" s="1"/>
  <c r="L26" i="19" s="1"/>
  <c r="A27" i="19"/>
  <c r="B26" i="19"/>
  <c r="F26" i="19" s="1"/>
  <c r="I26" i="19" s="1"/>
  <c r="O26" i="19"/>
  <c r="M22" i="18"/>
  <c r="Q22" i="18" s="1"/>
  <c r="R22" i="18" s="1"/>
  <c r="S22" i="18" s="1"/>
  <c r="Z22" i="18" s="1"/>
  <c r="AB22" i="18" s="1"/>
  <c r="AD22" i="18" s="1"/>
  <c r="O23" i="18"/>
  <c r="D23" i="18"/>
  <c r="J23" i="18" s="1"/>
  <c r="L23" i="18" s="1"/>
  <c r="A24" i="18"/>
  <c r="B23" i="18"/>
  <c r="F23" i="18" s="1"/>
  <c r="I23" i="18" s="1"/>
  <c r="M21" i="15"/>
  <c r="Q21" i="15" s="1"/>
  <c r="R21" i="15" s="1"/>
  <c r="S21" i="15" s="1"/>
  <c r="Z20" i="15"/>
  <c r="J22" i="15"/>
  <c r="L22" i="15" s="1"/>
  <c r="Z18" i="15"/>
  <c r="AB18" i="15" s="1"/>
  <c r="Z19" i="15"/>
  <c r="AB19" i="15" s="1"/>
  <c r="V21" i="15"/>
  <c r="Y21" i="15" s="1"/>
  <c r="I22" i="15"/>
  <c r="Z17" i="15"/>
  <c r="AB17" i="15" s="1"/>
  <c r="D23" i="15"/>
  <c r="A24" i="15"/>
  <c r="O24" i="15" s="1"/>
  <c r="B23" i="15"/>
  <c r="F23" i="15" s="1"/>
  <c r="S25" i="19" l="1"/>
  <c r="V25" i="19"/>
  <c r="Y25" i="19" s="1"/>
  <c r="Z24" i="19"/>
  <c r="AB24" i="19" s="1"/>
  <c r="AD24" i="19" s="1"/>
  <c r="Z21" i="19"/>
  <c r="AB21" i="19" s="1"/>
  <c r="AD21" i="19" s="1"/>
  <c r="Z23" i="19"/>
  <c r="AB23" i="19" s="1"/>
  <c r="AD23" i="19" s="1"/>
  <c r="S21" i="20"/>
  <c r="V21" i="20"/>
  <c r="Y21" i="20" s="1"/>
  <c r="Z17" i="20"/>
  <c r="AB17" i="20" s="1"/>
  <c r="AD17" i="20" s="1"/>
  <c r="Z19" i="20"/>
  <c r="AB19" i="20" s="1"/>
  <c r="AD19" i="20" s="1"/>
  <c r="Z20" i="20"/>
  <c r="AB20" i="20" s="1"/>
  <c r="AD20" i="20" s="1"/>
  <c r="Z18" i="20"/>
  <c r="AB18" i="20" s="1"/>
  <c r="AD18" i="20" s="1"/>
  <c r="M22" i="20"/>
  <c r="Q22" i="20" s="1"/>
  <c r="R22" i="20" s="1"/>
  <c r="D23" i="20"/>
  <c r="J23" i="20" s="1"/>
  <c r="L23" i="20" s="1"/>
  <c r="A24" i="20"/>
  <c r="B23" i="20"/>
  <c r="F23" i="20" s="1"/>
  <c r="I23" i="20" s="1"/>
  <c r="O23" i="20"/>
  <c r="M26" i="19"/>
  <c r="Q26" i="19" s="1"/>
  <c r="R26" i="19" s="1"/>
  <c r="D27" i="19"/>
  <c r="J27" i="19" s="1"/>
  <c r="L27" i="19" s="1"/>
  <c r="A28" i="19"/>
  <c r="B27" i="19"/>
  <c r="F27" i="19" s="1"/>
  <c r="I27" i="19" s="1"/>
  <c r="O27" i="19"/>
  <c r="M23" i="18"/>
  <c r="Q23" i="18"/>
  <c r="R23" i="18" s="1"/>
  <c r="S23" i="18" s="1"/>
  <c r="Z23" i="18" s="1"/>
  <c r="AB23" i="18" s="1"/>
  <c r="AD23" i="18" s="1"/>
  <c r="D24" i="18"/>
  <c r="J24" i="18" s="1"/>
  <c r="L24" i="18" s="1"/>
  <c r="A25" i="18"/>
  <c r="B24" i="18"/>
  <c r="F24" i="18" s="1"/>
  <c r="I24" i="18" s="1"/>
  <c r="O24" i="18"/>
  <c r="AB20" i="15"/>
  <c r="AD20" i="15" s="1"/>
  <c r="Z21" i="15"/>
  <c r="J23" i="15"/>
  <c r="L23" i="15" s="1"/>
  <c r="M22" i="15"/>
  <c r="Q22" i="15" s="1"/>
  <c r="R22" i="15" s="1"/>
  <c r="S22" i="15" s="1"/>
  <c r="AD18" i="15"/>
  <c r="AD17" i="15"/>
  <c r="AD19" i="15"/>
  <c r="V22" i="15"/>
  <c r="Y22" i="15" s="1"/>
  <c r="I23" i="15"/>
  <c r="D24" i="15"/>
  <c r="A25" i="15"/>
  <c r="O25" i="15" s="1"/>
  <c r="B24" i="15"/>
  <c r="F24" i="15" s="1"/>
  <c r="Z25" i="19" l="1"/>
  <c r="AB25" i="19" s="1"/>
  <c r="AD25" i="19" s="1"/>
  <c r="S26" i="19"/>
  <c r="V26" i="19"/>
  <c r="Y26" i="19" s="1"/>
  <c r="S22" i="20"/>
  <c r="V22" i="20"/>
  <c r="Y22" i="20" s="1"/>
  <c r="Z21" i="20"/>
  <c r="AB21" i="20" s="1"/>
  <c r="AD21" i="20" s="1"/>
  <c r="M23" i="20"/>
  <c r="Q23" i="20" s="1"/>
  <c r="R23" i="20" s="1"/>
  <c r="A25" i="20"/>
  <c r="B24" i="20"/>
  <c r="F24" i="20" s="1"/>
  <c r="I24" i="20" s="1"/>
  <c r="D24" i="20"/>
  <c r="J24" i="20" s="1"/>
  <c r="L24" i="20" s="1"/>
  <c r="O24" i="20"/>
  <c r="M27" i="19"/>
  <c r="Q27" i="19" s="1"/>
  <c r="R27" i="19" s="1"/>
  <c r="A29" i="19"/>
  <c r="B28" i="19"/>
  <c r="F28" i="19" s="1"/>
  <c r="I28" i="19" s="1"/>
  <c r="O28" i="19"/>
  <c r="D28" i="19"/>
  <c r="J28" i="19" s="1"/>
  <c r="L28" i="19" s="1"/>
  <c r="D25" i="18"/>
  <c r="J25" i="18" s="1"/>
  <c r="L25" i="18" s="1"/>
  <c r="A26" i="18"/>
  <c r="B25" i="18"/>
  <c r="F25" i="18" s="1"/>
  <c r="I25" i="18" s="1"/>
  <c r="M25" i="18" s="1"/>
  <c r="Q25" i="18" s="1"/>
  <c r="R25" i="18" s="1"/>
  <c r="S25" i="18" s="1"/>
  <c r="Z25" i="18" s="1"/>
  <c r="AB25" i="18" s="1"/>
  <c r="AD25" i="18" s="1"/>
  <c r="O25" i="18"/>
  <c r="M24" i="18"/>
  <c r="Q24" i="18" s="1"/>
  <c r="R24" i="18" s="1"/>
  <c r="S24" i="18" s="1"/>
  <c r="Z24" i="18" s="1"/>
  <c r="AB24" i="18" s="1"/>
  <c r="AD24" i="18" s="1"/>
  <c r="AB21" i="15"/>
  <c r="AD21" i="15" s="1"/>
  <c r="J24" i="15"/>
  <c r="L24" i="15" s="1"/>
  <c r="M23" i="15"/>
  <c r="Q23" i="15" s="1"/>
  <c r="R23" i="15" s="1"/>
  <c r="S23" i="15" s="1"/>
  <c r="Z22" i="15"/>
  <c r="V23" i="15"/>
  <c r="Y23" i="15" s="1"/>
  <c r="I24" i="15"/>
  <c r="D25" i="15"/>
  <c r="A26" i="15"/>
  <c r="O26" i="15" s="1"/>
  <c r="B25" i="15"/>
  <c r="F25" i="15" s="1"/>
  <c r="Z26" i="19" l="1"/>
  <c r="AB26" i="19" s="1"/>
  <c r="AD26" i="19" s="1"/>
  <c r="M28" i="19"/>
  <c r="Q28" i="19" s="1"/>
  <c r="R28" i="19" s="1"/>
  <c r="S27" i="19"/>
  <c r="V27" i="19"/>
  <c r="Y27" i="19" s="1"/>
  <c r="S23" i="20"/>
  <c r="V23" i="20"/>
  <c r="Y23" i="20" s="1"/>
  <c r="Z22" i="20"/>
  <c r="AB22" i="20" s="1"/>
  <c r="AD22" i="20" s="1"/>
  <c r="O25" i="20"/>
  <c r="A26" i="20"/>
  <c r="D25" i="20"/>
  <c r="J25" i="20" s="1"/>
  <c r="L25" i="20" s="1"/>
  <c r="B25" i="20"/>
  <c r="F25" i="20" s="1"/>
  <c r="I25" i="20" s="1"/>
  <c r="M25" i="20" s="1"/>
  <c r="Q25" i="20" s="1"/>
  <c r="R25" i="20" s="1"/>
  <c r="M24" i="20"/>
  <c r="Q24" i="20" s="1"/>
  <c r="R24" i="20" s="1"/>
  <c r="A30" i="19"/>
  <c r="B29" i="19"/>
  <c r="F29" i="19" s="1"/>
  <c r="I29" i="19" s="1"/>
  <c r="O29" i="19"/>
  <c r="D29" i="19"/>
  <c r="J29" i="19" s="1"/>
  <c r="L29" i="19" s="1"/>
  <c r="A27" i="18"/>
  <c r="B26" i="18"/>
  <c r="F26" i="18" s="1"/>
  <c r="I26" i="18" s="1"/>
  <c r="O26" i="18"/>
  <c r="D26" i="18"/>
  <c r="J26" i="18" s="1"/>
  <c r="L26" i="18" s="1"/>
  <c r="AB22" i="15"/>
  <c r="AD22" i="15" s="1"/>
  <c r="J25" i="15"/>
  <c r="L25" i="15" s="1"/>
  <c r="Z23" i="15"/>
  <c r="M24" i="15"/>
  <c r="Q24" i="15" s="1"/>
  <c r="R24" i="15" s="1"/>
  <c r="S24" i="15" s="1"/>
  <c r="I25" i="15"/>
  <c r="V24" i="15"/>
  <c r="Y24" i="15" s="1"/>
  <c r="A27" i="15"/>
  <c r="O27" i="15" s="1"/>
  <c r="B26" i="15"/>
  <c r="F26" i="15" s="1"/>
  <c r="D26" i="15"/>
  <c r="M29" i="19" l="1"/>
  <c r="Q29" i="19" s="1"/>
  <c r="R29" i="19" s="1"/>
  <c r="S28" i="19"/>
  <c r="V28" i="19"/>
  <c r="Y28" i="19" s="1"/>
  <c r="Z27" i="19"/>
  <c r="AB27" i="19" s="1"/>
  <c r="AD27" i="19" s="1"/>
  <c r="S24" i="20"/>
  <c r="V24" i="20"/>
  <c r="Y24" i="20" s="1"/>
  <c r="S25" i="20"/>
  <c r="V25" i="20"/>
  <c r="Y25" i="20" s="1"/>
  <c r="Z23" i="20"/>
  <c r="AB23" i="20" s="1"/>
  <c r="AD23" i="20" s="1"/>
  <c r="B26" i="20"/>
  <c r="F26" i="20" s="1"/>
  <c r="I26" i="20" s="1"/>
  <c r="A27" i="20"/>
  <c r="O26" i="20"/>
  <c r="D26" i="20"/>
  <c r="J26" i="20" s="1"/>
  <c r="L26" i="20" s="1"/>
  <c r="D30" i="19"/>
  <c r="J30" i="19" s="1"/>
  <c r="L30" i="19" s="1"/>
  <c r="A31" i="19"/>
  <c r="B30" i="19"/>
  <c r="F30" i="19" s="1"/>
  <c r="I30" i="19" s="1"/>
  <c r="O30" i="19"/>
  <c r="M26" i="18"/>
  <c r="Q26" i="18" s="1"/>
  <c r="R26" i="18" s="1"/>
  <c r="S26" i="18" s="1"/>
  <c r="Z26" i="18" s="1"/>
  <c r="AB26" i="18" s="1"/>
  <c r="AD26" i="18" s="1"/>
  <c r="O27" i="18"/>
  <c r="A28" i="18"/>
  <c r="B27" i="18"/>
  <c r="F27" i="18" s="1"/>
  <c r="I27" i="18" s="1"/>
  <c r="D27" i="18"/>
  <c r="J27" i="18" s="1"/>
  <c r="L27" i="18" s="1"/>
  <c r="AB23" i="15"/>
  <c r="AD23" i="15" s="1"/>
  <c r="J26" i="15"/>
  <c r="L26" i="15" s="1"/>
  <c r="M25" i="15"/>
  <c r="Q25" i="15" s="1"/>
  <c r="R25" i="15" s="1"/>
  <c r="S25" i="15" s="1"/>
  <c r="Z24" i="15"/>
  <c r="I26" i="15"/>
  <c r="V25" i="15"/>
  <c r="Y25" i="15" s="1"/>
  <c r="D27" i="15"/>
  <c r="A28" i="15"/>
  <c r="O28" i="15" s="1"/>
  <c r="B27" i="15"/>
  <c r="F27" i="15" s="1"/>
  <c r="Z28" i="19" l="1"/>
  <c r="AB28" i="19" s="1"/>
  <c r="AD28" i="19" s="1"/>
  <c r="S29" i="19"/>
  <c r="V29" i="19"/>
  <c r="Y29" i="19" s="1"/>
  <c r="Z24" i="20"/>
  <c r="AB24" i="20" s="1"/>
  <c r="AD24" i="20" s="1"/>
  <c r="Z25" i="20"/>
  <c r="AB25" i="20" s="1"/>
  <c r="AD25" i="20" s="1"/>
  <c r="M26" i="20"/>
  <c r="Q26" i="20" s="1"/>
  <c r="R26" i="20" s="1"/>
  <c r="M27" i="18"/>
  <c r="Q27" i="18" s="1"/>
  <c r="R27" i="18" s="1"/>
  <c r="S27" i="18" s="1"/>
  <c r="Z27" i="18" s="1"/>
  <c r="AB27" i="18" s="1"/>
  <c r="AD27" i="18" s="1"/>
  <c r="D27" i="20"/>
  <c r="J27" i="20" s="1"/>
  <c r="L27" i="20" s="1"/>
  <c r="A28" i="20"/>
  <c r="B27" i="20"/>
  <c r="F27" i="20" s="1"/>
  <c r="I27" i="20" s="1"/>
  <c r="O27" i="20"/>
  <c r="D31" i="19"/>
  <c r="J31" i="19" s="1"/>
  <c r="L31" i="19" s="1"/>
  <c r="A32" i="19"/>
  <c r="B31" i="19"/>
  <c r="F31" i="19" s="1"/>
  <c r="I31" i="19" s="1"/>
  <c r="O31" i="19"/>
  <c r="M30" i="19"/>
  <c r="Q30" i="19" s="1"/>
  <c r="R30" i="19" s="1"/>
  <c r="D28" i="18"/>
  <c r="J28" i="18" s="1"/>
  <c r="L28" i="18" s="1"/>
  <c r="B28" i="18"/>
  <c r="F28" i="18" s="1"/>
  <c r="I28" i="18" s="1"/>
  <c r="A29" i="18"/>
  <c r="O28" i="18"/>
  <c r="AB24" i="15"/>
  <c r="AD24" i="15" s="1"/>
  <c r="Z25" i="15"/>
  <c r="M26" i="15"/>
  <c r="Q26" i="15" s="1"/>
  <c r="R26" i="15" s="1"/>
  <c r="S26" i="15" s="1"/>
  <c r="J27" i="15"/>
  <c r="L27" i="15" s="1"/>
  <c r="V26" i="15"/>
  <c r="Y26" i="15" s="1"/>
  <c r="I27" i="15"/>
  <c r="D28" i="15"/>
  <c r="A29" i="15"/>
  <c r="O29" i="15" s="1"/>
  <c r="B28" i="15"/>
  <c r="F28" i="15" s="1"/>
  <c r="Z29" i="19" l="1"/>
  <c r="AB29" i="19" s="1"/>
  <c r="AD29" i="19" s="1"/>
  <c r="S30" i="19"/>
  <c r="V30" i="19"/>
  <c r="Y30" i="19" s="1"/>
  <c r="S26" i="20"/>
  <c r="V26" i="20"/>
  <c r="Y26" i="20" s="1"/>
  <c r="D28" i="20"/>
  <c r="J28" i="20" s="1"/>
  <c r="L28" i="20" s="1"/>
  <c r="A29" i="20"/>
  <c r="B28" i="20"/>
  <c r="F28" i="20" s="1"/>
  <c r="I28" i="20" s="1"/>
  <c r="O28" i="20"/>
  <c r="M27" i="20"/>
  <c r="Q27" i="20" s="1"/>
  <c r="R27" i="20" s="1"/>
  <c r="B32" i="19"/>
  <c r="F32" i="19" s="1"/>
  <c r="I32" i="19" s="1"/>
  <c r="D32" i="19"/>
  <c r="J32" i="19" s="1"/>
  <c r="L32" i="19" s="1"/>
  <c r="A33" i="19"/>
  <c r="O32" i="19"/>
  <c r="M31" i="19"/>
  <c r="Q31" i="19" s="1"/>
  <c r="R31" i="19" s="1"/>
  <c r="M28" i="18"/>
  <c r="Q28" i="18" s="1"/>
  <c r="R28" i="18" s="1"/>
  <c r="S28" i="18" s="1"/>
  <c r="Z28" i="18" s="1"/>
  <c r="AB28" i="18" s="1"/>
  <c r="AD28" i="18" s="1"/>
  <c r="B29" i="18"/>
  <c r="F29" i="18" s="1"/>
  <c r="I29" i="18" s="1"/>
  <c r="D29" i="18"/>
  <c r="J29" i="18" s="1"/>
  <c r="L29" i="18" s="1"/>
  <c r="A30" i="18"/>
  <c r="O29" i="18"/>
  <c r="AB25" i="15"/>
  <c r="AD25" i="15" s="1"/>
  <c r="Z26" i="15"/>
  <c r="M27" i="15"/>
  <c r="Q27" i="15" s="1"/>
  <c r="R27" i="15" s="1"/>
  <c r="S27" i="15" s="1"/>
  <c r="J28" i="15"/>
  <c r="L28" i="15" s="1"/>
  <c r="V27" i="15"/>
  <c r="Y27" i="15" s="1"/>
  <c r="I28" i="15"/>
  <c r="D29" i="15"/>
  <c r="A30" i="15"/>
  <c r="O30" i="15" s="1"/>
  <c r="B29" i="15"/>
  <c r="F29" i="15" s="1"/>
  <c r="Z30" i="19" l="1"/>
  <c r="AB30" i="19" s="1"/>
  <c r="AD30" i="19" s="1"/>
  <c r="S31" i="19"/>
  <c r="V31" i="19"/>
  <c r="Y31" i="19" s="1"/>
  <c r="S27" i="20"/>
  <c r="V27" i="20"/>
  <c r="Y27" i="20" s="1"/>
  <c r="Z26" i="20"/>
  <c r="AB26" i="20" s="1"/>
  <c r="AD26" i="20" s="1"/>
  <c r="D29" i="20"/>
  <c r="J29" i="20" s="1"/>
  <c r="L29" i="20" s="1"/>
  <c r="A30" i="20"/>
  <c r="B29" i="20"/>
  <c r="F29" i="20" s="1"/>
  <c r="I29" i="20" s="1"/>
  <c r="O29" i="20"/>
  <c r="M28" i="20"/>
  <c r="Q28" i="20" s="1"/>
  <c r="R28" i="20" s="1"/>
  <c r="M32" i="19"/>
  <c r="Q32" i="19" s="1"/>
  <c r="R32" i="19" s="1"/>
  <c r="O33" i="19"/>
  <c r="D33" i="19"/>
  <c r="J33" i="19" s="1"/>
  <c r="L33" i="19" s="1"/>
  <c r="A34" i="19"/>
  <c r="B33" i="19"/>
  <c r="F33" i="19" s="1"/>
  <c r="I33" i="19" s="1"/>
  <c r="M29" i="18"/>
  <c r="Q29" i="18" s="1"/>
  <c r="R29" i="18" s="1"/>
  <c r="S29" i="18" s="1"/>
  <c r="Z29" i="18" s="1"/>
  <c r="AB29" i="18" s="1"/>
  <c r="AD29" i="18" s="1"/>
  <c r="O30" i="18"/>
  <c r="A31" i="18"/>
  <c r="B30" i="18"/>
  <c r="F30" i="18" s="1"/>
  <c r="I30" i="18" s="1"/>
  <c r="D30" i="18"/>
  <c r="J30" i="18" s="1"/>
  <c r="L30" i="18" s="1"/>
  <c r="AB26" i="15"/>
  <c r="AD26" i="15" s="1"/>
  <c r="Z27" i="15"/>
  <c r="M28" i="15"/>
  <c r="Q28" i="15" s="1"/>
  <c r="R28" i="15" s="1"/>
  <c r="S28" i="15" s="1"/>
  <c r="J29" i="15"/>
  <c r="L29" i="15" s="1"/>
  <c r="V28" i="15"/>
  <c r="Y28" i="15" s="1"/>
  <c r="I29" i="15"/>
  <c r="D30" i="15"/>
  <c r="A31" i="15"/>
  <c r="O31" i="15" s="1"/>
  <c r="B30" i="15"/>
  <c r="F30" i="15" s="1"/>
  <c r="Z31" i="19" l="1"/>
  <c r="AB31" i="19" s="1"/>
  <c r="AD31" i="19" s="1"/>
  <c r="S32" i="19"/>
  <c r="V32" i="19"/>
  <c r="Y32" i="19" s="1"/>
  <c r="S28" i="20"/>
  <c r="V28" i="20"/>
  <c r="Y28" i="20" s="1"/>
  <c r="Z27" i="20"/>
  <c r="AB27" i="20" s="1"/>
  <c r="AD27" i="20" s="1"/>
  <c r="D30" i="20"/>
  <c r="J30" i="20" s="1"/>
  <c r="L30" i="20" s="1"/>
  <c r="A31" i="20"/>
  <c r="B30" i="20"/>
  <c r="F30" i="20" s="1"/>
  <c r="I30" i="20" s="1"/>
  <c r="M30" i="20" s="1"/>
  <c r="O30" i="20"/>
  <c r="M29" i="20"/>
  <c r="Q29" i="20" s="1"/>
  <c r="R29" i="20" s="1"/>
  <c r="M33" i="19"/>
  <c r="Q33" i="19" s="1"/>
  <c r="R33" i="19" s="1"/>
  <c r="D34" i="19"/>
  <c r="J34" i="19" s="1"/>
  <c r="L34" i="19" s="1"/>
  <c r="A35" i="19"/>
  <c r="B34" i="19"/>
  <c r="F34" i="19" s="1"/>
  <c r="I34" i="19" s="1"/>
  <c r="O34" i="19"/>
  <c r="M30" i="18"/>
  <c r="Q30" i="18" s="1"/>
  <c r="R30" i="18" s="1"/>
  <c r="S30" i="18" s="1"/>
  <c r="Z30" i="18" s="1"/>
  <c r="AB30" i="18" s="1"/>
  <c r="AD30" i="18" s="1"/>
  <c r="O31" i="18"/>
  <c r="D31" i="18"/>
  <c r="J31" i="18" s="1"/>
  <c r="L31" i="18" s="1"/>
  <c r="A32" i="18"/>
  <c r="B31" i="18"/>
  <c r="F31" i="18" s="1"/>
  <c r="I31" i="18" s="1"/>
  <c r="AB27" i="15"/>
  <c r="AD27" i="15" s="1"/>
  <c r="Z28" i="15"/>
  <c r="M29" i="15"/>
  <c r="Q29" i="15" s="1"/>
  <c r="R29" i="15" s="1"/>
  <c r="S29" i="15" s="1"/>
  <c r="J30" i="15"/>
  <c r="L30" i="15" s="1"/>
  <c r="I30" i="15"/>
  <c r="V29" i="15"/>
  <c r="Y29" i="15" s="1"/>
  <c r="D31" i="15"/>
  <c r="A32" i="15"/>
  <c r="O32" i="15" s="1"/>
  <c r="B31" i="15"/>
  <c r="F31" i="15" s="1"/>
  <c r="Z32" i="19" l="1"/>
  <c r="AB32" i="19" s="1"/>
  <c r="AD32" i="19" s="1"/>
  <c r="S33" i="19"/>
  <c r="V33" i="19"/>
  <c r="Y33" i="19" s="1"/>
  <c r="S29" i="20"/>
  <c r="V29" i="20"/>
  <c r="Y29" i="20" s="1"/>
  <c r="Z28" i="20"/>
  <c r="AB28" i="20" s="1"/>
  <c r="AD28" i="20" s="1"/>
  <c r="Q30" i="20"/>
  <c r="R30" i="20" s="1"/>
  <c r="D31" i="20"/>
  <c r="J31" i="20" s="1"/>
  <c r="L31" i="20" s="1"/>
  <c r="A32" i="20"/>
  <c r="B31" i="20"/>
  <c r="F31" i="20" s="1"/>
  <c r="I31" i="20" s="1"/>
  <c r="M31" i="20" s="1"/>
  <c r="O31" i="20"/>
  <c r="M34" i="19"/>
  <c r="Q34" i="19" s="1"/>
  <c r="R34" i="19" s="1"/>
  <c r="D35" i="19"/>
  <c r="J35" i="19" s="1"/>
  <c r="L35" i="19" s="1"/>
  <c r="A36" i="19"/>
  <c r="B35" i="19"/>
  <c r="F35" i="19" s="1"/>
  <c r="I35" i="19" s="1"/>
  <c r="O35" i="19"/>
  <c r="D32" i="18"/>
  <c r="J32" i="18" s="1"/>
  <c r="L32" i="18" s="1"/>
  <c r="A33" i="18"/>
  <c r="B32" i="18"/>
  <c r="F32" i="18" s="1"/>
  <c r="I32" i="18" s="1"/>
  <c r="M32" i="18" s="1"/>
  <c r="O32" i="18"/>
  <c r="M31" i="18"/>
  <c r="Q31" i="18" s="1"/>
  <c r="R31" i="18" s="1"/>
  <c r="S31" i="18" s="1"/>
  <c r="Z31" i="18" s="1"/>
  <c r="AB31" i="18" s="1"/>
  <c r="AD31" i="18" s="1"/>
  <c r="AB28" i="15"/>
  <c r="AD28" i="15" s="1"/>
  <c r="Z29" i="15"/>
  <c r="M30" i="15"/>
  <c r="Q30" i="15" s="1"/>
  <c r="R30" i="15" s="1"/>
  <c r="S30" i="15" s="1"/>
  <c r="J31" i="15"/>
  <c r="L31" i="15" s="1"/>
  <c r="V30" i="15"/>
  <c r="Y30" i="15" s="1"/>
  <c r="I31" i="15"/>
  <c r="D32" i="15"/>
  <c r="A33" i="15"/>
  <c r="O33" i="15" s="1"/>
  <c r="B32" i="15"/>
  <c r="F32" i="15" s="1"/>
  <c r="Z33" i="19" l="1"/>
  <c r="AB33" i="19" s="1"/>
  <c r="AD33" i="19" s="1"/>
  <c r="S34" i="19"/>
  <c r="V34" i="19"/>
  <c r="Y34" i="19" s="1"/>
  <c r="S30" i="20"/>
  <c r="V30" i="20"/>
  <c r="Y30" i="20" s="1"/>
  <c r="Z29" i="20"/>
  <c r="AB29" i="20" s="1"/>
  <c r="AD29" i="20" s="1"/>
  <c r="M35" i="19"/>
  <c r="Q35" i="19" s="1"/>
  <c r="R35" i="19" s="1"/>
  <c r="Q32" i="18"/>
  <c r="R32" i="18" s="1"/>
  <c r="S32" i="18" s="1"/>
  <c r="Z32" i="18" s="1"/>
  <c r="AB32" i="18" s="1"/>
  <c r="AD32" i="18" s="1"/>
  <c r="Q31" i="20"/>
  <c r="R31" i="20" s="1"/>
  <c r="A33" i="20"/>
  <c r="B32" i="20"/>
  <c r="F32" i="20" s="1"/>
  <c r="I32" i="20" s="1"/>
  <c r="O32" i="20"/>
  <c r="D32" i="20"/>
  <c r="J32" i="20" s="1"/>
  <c r="L32" i="20" s="1"/>
  <c r="D36" i="19"/>
  <c r="J36" i="19" s="1"/>
  <c r="L36" i="19" s="1"/>
  <c r="A37" i="19"/>
  <c r="B36" i="19"/>
  <c r="F36" i="19" s="1"/>
  <c r="I36" i="19" s="1"/>
  <c r="O36" i="19"/>
  <c r="D33" i="18"/>
  <c r="J33" i="18" s="1"/>
  <c r="L33" i="18" s="1"/>
  <c r="A34" i="18"/>
  <c r="B33" i="18"/>
  <c r="F33" i="18" s="1"/>
  <c r="I33" i="18" s="1"/>
  <c r="M33" i="18" s="1"/>
  <c r="Q33" i="18" s="1"/>
  <c r="R33" i="18" s="1"/>
  <c r="S33" i="18" s="1"/>
  <c r="Z33" i="18" s="1"/>
  <c r="AB33" i="18" s="1"/>
  <c r="AD33" i="18" s="1"/>
  <c r="O33" i="18"/>
  <c r="AB29" i="15"/>
  <c r="AD29" i="15" s="1"/>
  <c r="M31" i="15"/>
  <c r="Q31" i="15" s="1"/>
  <c r="R31" i="15" s="1"/>
  <c r="S31" i="15" s="1"/>
  <c r="J32" i="15"/>
  <c r="L32" i="15" s="1"/>
  <c r="V31" i="15"/>
  <c r="Y31" i="15" s="1"/>
  <c r="Z30" i="15"/>
  <c r="AB30" i="15" s="1"/>
  <c r="I32" i="15"/>
  <c r="D33" i="15"/>
  <c r="A34" i="15"/>
  <c r="O34" i="15" s="1"/>
  <c r="B33" i="15"/>
  <c r="F33" i="15" s="1"/>
  <c r="S35" i="19" l="1"/>
  <c r="V35" i="19"/>
  <c r="Y35" i="19" s="1"/>
  <c r="Z34" i="19"/>
  <c r="AB34" i="19" s="1"/>
  <c r="AD34" i="19" s="1"/>
  <c r="S31" i="20"/>
  <c r="V31" i="20"/>
  <c r="Y31" i="20" s="1"/>
  <c r="Z30" i="20"/>
  <c r="AB30" i="20" s="1"/>
  <c r="AD30" i="20" s="1"/>
  <c r="M32" i="20"/>
  <c r="Q32" i="20" s="1"/>
  <c r="R32" i="20" s="1"/>
  <c r="O33" i="20"/>
  <c r="D33" i="20"/>
  <c r="J33" i="20" s="1"/>
  <c r="L33" i="20" s="1"/>
  <c r="A34" i="20"/>
  <c r="B33" i="20"/>
  <c r="F33" i="20" s="1"/>
  <c r="I33" i="20" s="1"/>
  <c r="M33" i="20" s="1"/>
  <c r="A38" i="19"/>
  <c r="B37" i="19"/>
  <c r="F37" i="19" s="1"/>
  <c r="I37" i="19" s="1"/>
  <c r="O37" i="19"/>
  <c r="D37" i="19"/>
  <c r="J37" i="19" s="1"/>
  <c r="L37" i="19" s="1"/>
  <c r="M36" i="19"/>
  <c r="Q36" i="19" s="1"/>
  <c r="R36" i="19" s="1"/>
  <c r="A35" i="18"/>
  <c r="B34" i="18"/>
  <c r="F34" i="18" s="1"/>
  <c r="I34" i="18" s="1"/>
  <c r="O34" i="18"/>
  <c r="D34" i="18"/>
  <c r="J34" i="18" s="1"/>
  <c r="L34" i="18" s="1"/>
  <c r="Z31" i="15"/>
  <c r="M32" i="15"/>
  <c r="Q32" i="15" s="1"/>
  <c r="R32" i="15" s="1"/>
  <c r="S32" i="15" s="1"/>
  <c r="J33" i="15"/>
  <c r="L33" i="15" s="1"/>
  <c r="AD30" i="15"/>
  <c r="I33" i="15"/>
  <c r="V32" i="15"/>
  <c r="Y32" i="15" s="1"/>
  <c r="A35" i="15"/>
  <c r="O35" i="15" s="1"/>
  <c r="B34" i="15"/>
  <c r="F34" i="15" s="1"/>
  <c r="D34" i="15"/>
  <c r="Z35" i="19" l="1"/>
  <c r="AB35" i="19" s="1"/>
  <c r="AD35" i="19" s="1"/>
  <c r="S36" i="19"/>
  <c r="V36" i="19"/>
  <c r="Y36" i="19" s="1"/>
  <c r="S32" i="20"/>
  <c r="V32" i="20"/>
  <c r="Y32" i="20" s="1"/>
  <c r="Z31" i="20"/>
  <c r="AB31" i="20" s="1"/>
  <c r="AD31" i="20" s="1"/>
  <c r="M34" i="18"/>
  <c r="Q33" i="20"/>
  <c r="R33" i="20" s="1"/>
  <c r="B34" i="20"/>
  <c r="F34" i="20" s="1"/>
  <c r="I34" i="20" s="1"/>
  <c r="O34" i="20"/>
  <c r="D34" i="20"/>
  <c r="J34" i="20" s="1"/>
  <c r="L34" i="20" s="1"/>
  <c r="A35" i="20"/>
  <c r="M37" i="19"/>
  <c r="Q37" i="19" s="1"/>
  <c r="R37" i="19" s="1"/>
  <c r="O38" i="19"/>
  <c r="D38" i="19"/>
  <c r="J38" i="19" s="1"/>
  <c r="L38" i="19" s="1"/>
  <c r="B38" i="19"/>
  <c r="F38" i="19" s="1"/>
  <c r="I38" i="19" s="1"/>
  <c r="M38" i="19" s="1"/>
  <c r="Q34" i="18"/>
  <c r="R34" i="18" s="1"/>
  <c r="S34" i="18" s="1"/>
  <c r="Z34" i="18" s="1"/>
  <c r="AB34" i="18" s="1"/>
  <c r="AD34" i="18" s="1"/>
  <c r="O35" i="18"/>
  <c r="D35" i="18"/>
  <c r="J35" i="18" s="1"/>
  <c r="L35" i="18" s="1"/>
  <c r="B35" i="18"/>
  <c r="F35" i="18" s="1"/>
  <c r="I35" i="18" s="1"/>
  <c r="AB31" i="15"/>
  <c r="AD31" i="15" s="1"/>
  <c r="Z32" i="15"/>
  <c r="AB32" i="15" s="1"/>
  <c r="AD32" i="15" s="1"/>
  <c r="M33" i="15"/>
  <c r="Q33" i="15" s="1"/>
  <c r="R33" i="15" s="1"/>
  <c r="S33" i="15" s="1"/>
  <c r="J34" i="15"/>
  <c r="L34" i="15" s="1"/>
  <c r="V33" i="15"/>
  <c r="Y33" i="15" s="1"/>
  <c r="I34" i="15"/>
  <c r="D35" i="15"/>
  <c r="B35" i="15"/>
  <c r="F35" i="15" s="1"/>
  <c r="S37" i="19" l="1"/>
  <c r="V37" i="19"/>
  <c r="Y37" i="19" s="1"/>
  <c r="Z36" i="19"/>
  <c r="AB36" i="19" s="1"/>
  <c r="AD36" i="19" s="1"/>
  <c r="S33" i="20"/>
  <c r="V33" i="20"/>
  <c r="Y33" i="20" s="1"/>
  <c r="Z32" i="20"/>
  <c r="AB32" i="20" s="1"/>
  <c r="AD32" i="20" s="1"/>
  <c r="M34" i="20"/>
  <c r="Q34" i="20" s="1"/>
  <c r="R34" i="20" s="1"/>
  <c r="Q38" i="19"/>
  <c r="R38" i="19" s="1"/>
  <c r="O35" i="20"/>
  <c r="D35" i="20"/>
  <c r="J35" i="20" s="1"/>
  <c r="L35" i="20" s="1"/>
  <c r="B35" i="20"/>
  <c r="F35" i="20" s="1"/>
  <c r="I35" i="20" s="1"/>
  <c r="M35" i="20" s="1"/>
  <c r="Q35" i="20" s="1"/>
  <c r="R35" i="20" s="1"/>
  <c r="M35" i="18"/>
  <c r="Q35" i="18" s="1"/>
  <c r="R35" i="18" s="1"/>
  <c r="S35" i="18" s="1"/>
  <c r="Z35" i="18" s="1"/>
  <c r="AB35" i="18" s="1"/>
  <c r="AD35" i="18" s="1"/>
  <c r="M34" i="15"/>
  <c r="Q34" i="15" s="1"/>
  <c r="R34" i="15" s="1"/>
  <c r="S34" i="15" s="1"/>
  <c r="J35" i="15"/>
  <c r="L35" i="15" s="1"/>
  <c r="Z33" i="15"/>
  <c r="AB33" i="15" s="1"/>
  <c r="V34" i="15"/>
  <c r="Y34" i="15" s="1"/>
  <c r="I35" i="15"/>
  <c r="S38" i="19" l="1"/>
  <c r="V38" i="19"/>
  <c r="Y38" i="19" s="1"/>
  <c r="Z37" i="19"/>
  <c r="AB37" i="19" s="1"/>
  <c r="AD37" i="19" s="1"/>
  <c r="S34" i="20"/>
  <c r="V34" i="20"/>
  <c r="Y34" i="20" s="1"/>
  <c r="S35" i="20"/>
  <c r="V35" i="20"/>
  <c r="Y35" i="20" s="1"/>
  <c r="Z33" i="20"/>
  <c r="AB33" i="20" s="1"/>
  <c r="AD33" i="20" s="1"/>
  <c r="Z34" i="15"/>
  <c r="AB34" i="15" s="1"/>
  <c r="AD34" i="15" s="1"/>
  <c r="M35" i="15"/>
  <c r="Q35" i="15" s="1"/>
  <c r="R35" i="15" s="1"/>
  <c r="S35" i="15" s="1"/>
  <c r="AD33" i="15"/>
  <c r="V35" i="15"/>
  <c r="Y35" i="15" s="1"/>
  <c r="Z38" i="19" l="1"/>
  <c r="AB38" i="19" s="1"/>
  <c r="AD38" i="19" s="1"/>
  <c r="Z35" i="20"/>
  <c r="AB35" i="20" s="1"/>
  <c r="AD35" i="20" s="1"/>
  <c r="Z34" i="20"/>
  <c r="AB34" i="20" s="1"/>
  <c r="AD34" i="20" s="1"/>
  <c r="Z35" i="15"/>
  <c r="AB35" i="15" s="1"/>
  <c r="F10" i="14"/>
  <c r="C14" i="14"/>
  <c r="F9" i="14"/>
  <c r="F12" i="14"/>
  <c r="AD35" i="15" l="1"/>
  <c r="F13" i="14"/>
</calcChain>
</file>

<file path=xl/sharedStrings.xml><?xml version="1.0" encoding="utf-8"?>
<sst xmlns="http://schemas.openxmlformats.org/spreadsheetml/2006/main" count="458" uniqueCount="131">
  <si>
    <r>
      <t>ΔU</t>
    </r>
    <r>
      <rPr>
        <vertAlign val="subscript"/>
        <sz val="11"/>
        <rFont val="Calibri"/>
        <family val="2"/>
        <scheme val="minor"/>
      </rPr>
      <t>a</t>
    </r>
    <r>
      <rPr>
        <sz val="11"/>
        <rFont val="Calibri"/>
        <family val="2"/>
        <scheme val="minor"/>
      </rPr>
      <t xml:space="preserve"> + ΔU</t>
    </r>
    <r>
      <rPr>
        <vertAlign val="subscript"/>
        <sz val="11"/>
        <rFont val="Calibri"/>
        <family val="2"/>
        <scheme val="minor"/>
      </rPr>
      <t>fa</t>
    </r>
    <r>
      <rPr>
        <sz val="11"/>
        <rFont val="Calibri"/>
        <family val="2"/>
        <scheme val="minor"/>
      </rPr>
      <t xml:space="preserve"> + ΔU</t>
    </r>
    <r>
      <rPr>
        <vertAlign val="subscript"/>
        <sz val="11"/>
        <rFont val="Calibri"/>
        <family val="2"/>
        <scheme val="minor"/>
      </rPr>
      <t>r</t>
    </r>
  </si>
  <si>
    <t xml:space="preserve">ΔU </t>
  </si>
  <si>
    <r>
      <t>U</t>
    </r>
    <r>
      <rPr>
        <vertAlign val="subscript"/>
        <sz val="11"/>
        <rFont val="Calibri"/>
        <family val="2"/>
        <scheme val="minor"/>
      </rPr>
      <t>T</t>
    </r>
    <r>
      <rPr>
        <sz val="11"/>
        <rFont val="Calibri"/>
        <family val="2"/>
        <scheme val="minor"/>
      </rPr>
      <t xml:space="preserve"> / ƒ</t>
    </r>
    <r>
      <rPr>
        <vertAlign val="subscript"/>
        <sz val="11"/>
        <rFont val="Calibri"/>
        <family val="2"/>
        <scheme val="minor"/>
      </rPr>
      <t>prac</t>
    </r>
    <r>
      <rPr>
        <sz val="11"/>
        <rFont val="Calibri"/>
        <family val="2"/>
        <scheme val="minor"/>
      </rPr>
      <t xml:space="preserve"> + ΔU</t>
    </r>
  </si>
  <si>
    <t>d / λ</t>
  </si>
  <si>
    <t>TOETSING AAN CRITERIUM</t>
  </si>
  <si>
    <r>
      <t>n</t>
    </r>
    <r>
      <rPr>
        <vertAlign val="subscript"/>
        <sz val="11"/>
        <color theme="1"/>
        <rFont val="Calibri"/>
        <family val="2"/>
        <scheme val="minor"/>
      </rPr>
      <t>fa</t>
    </r>
    <r>
      <rPr>
        <sz val="11"/>
        <color theme="1"/>
        <rFont val="Calibri"/>
        <family val="2"/>
        <scheme val="minor"/>
      </rPr>
      <t xml:space="preserve"> =</t>
    </r>
  </si>
  <si>
    <r>
      <t>λ</t>
    </r>
    <r>
      <rPr>
        <vertAlign val="subscript"/>
        <sz val="11"/>
        <rFont val="Calibri"/>
        <family val="2"/>
        <scheme val="minor"/>
      </rPr>
      <t>fa</t>
    </r>
    <r>
      <rPr>
        <sz val="11"/>
        <rFont val="Calibri"/>
        <family val="2"/>
        <scheme val="minor"/>
      </rPr>
      <t xml:space="preserve"> =</t>
    </r>
  </si>
  <si>
    <r>
      <t>ø</t>
    </r>
    <r>
      <rPr>
        <vertAlign val="subscript"/>
        <sz val="11"/>
        <rFont val="Calibri"/>
        <family val="2"/>
        <scheme val="minor"/>
      </rPr>
      <t>fa</t>
    </r>
    <r>
      <rPr>
        <sz val="11"/>
        <rFont val="Calibri"/>
        <family val="2"/>
        <scheme val="minor"/>
      </rPr>
      <t xml:space="preserve"> =</t>
    </r>
  </si>
  <si>
    <r>
      <t>R</t>
    </r>
    <r>
      <rPr>
        <vertAlign val="subscript"/>
        <sz val="11"/>
        <rFont val="Calibri"/>
        <family val="2"/>
        <scheme val="minor"/>
      </rPr>
      <t>si</t>
    </r>
    <r>
      <rPr>
        <sz val="11"/>
        <rFont val="Calibri"/>
        <family val="2"/>
        <scheme val="minor"/>
      </rPr>
      <t xml:space="preserve"> =</t>
    </r>
  </si>
  <si>
    <r>
      <t>1 / R</t>
    </r>
    <r>
      <rPr>
        <vertAlign val="subscript"/>
        <sz val="11"/>
        <color theme="1"/>
        <rFont val="Calibri"/>
        <family val="2"/>
        <scheme val="minor"/>
      </rPr>
      <t>T</t>
    </r>
    <r>
      <rPr>
        <vertAlign val="subscript"/>
        <sz val="11"/>
        <rFont val="Calibri"/>
        <family val="2"/>
        <scheme val="minor"/>
      </rPr>
      <t>;sectie a</t>
    </r>
  </si>
  <si>
    <r>
      <t>R</t>
    </r>
    <r>
      <rPr>
        <vertAlign val="subscript"/>
        <sz val="11"/>
        <rFont val="Calibri"/>
        <family val="2"/>
        <scheme val="minor"/>
      </rPr>
      <t>se</t>
    </r>
    <r>
      <rPr>
        <sz val="11"/>
        <rFont val="Calibri"/>
        <family val="2"/>
        <scheme val="minor"/>
      </rPr>
      <t>=</t>
    </r>
  </si>
  <si>
    <r>
      <t>λ</t>
    </r>
    <r>
      <rPr>
        <vertAlign val="subscript"/>
        <sz val="11"/>
        <rFont val="Calibri"/>
        <family val="2"/>
        <scheme val="minor"/>
      </rPr>
      <t>iso</t>
    </r>
    <r>
      <rPr>
        <sz val="11"/>
        <rFont val="Calibri"/>
        <family val="2"/>
        <scheme val="minor"/>
      </rPr>
      <t xml:space="preserve"> =</t>
    </r>
  </si>
  <si>
    <r>
      <t>λ</t>
    </r>
    <r>
      <rPr>
        <vertAlign val="subscript"/>
        <sz val="11"/>
        <rFont val="Calibri"/>
        <family val="2"/>
        <scheme val="minor"/>
      </rPr>
      <t>hout</t>
    </r>
    <r>
      <rPr>
        <sz val="11"/>
        <rFont val="Calibri"/>
        <family val="2"/>
        <scheme val="minor"/>
      </rPr>
      <t xml:space="preserve"> =</t>
    </r>
  </si>
  <si>
    <r>
      <t>U</t>
    </r>
    <r>
      <rPr>
        <vertAlign val="subscript"/>
        <sz val="11"/>
        <color theme="1"/>
        <rFont val="Calibri"/>
        <family val="2"/>
        <scheme val="minor"/>
      </rPr>
      <t>T</t>
    </r>
    <r>
      <rPr>
        <vertAlign val="subscript"/>
        <sz val="11"/>
        <rFont val="Calibri"/>
        <family val="2"/>
        <scheme val="minor"/>
      </rPr>
      <t>;sectie a</t>
    </r>
    <r>
      <rPr>
        <sz val="11"/>
        <rFont val="Calibri"/>
        <family val="2"/>
        <scheme val="minor"/>
      </rPr>
      <t xml:space="preserve"> +</t>
    </r>
  </si>
  <si>
    <r>
      <t>U</t>
    </r>
    <r>
      <rPr>
        <vertAlign val="subscript"/>
        <sz val="11"/>
        <rFont val="Calibri"/>
        <family val="2"/>
        <scheme val="minor"/>
      </rPr>
      <t>T;sectie b</t>
    </r>
  </si>
  <si>
    <r>
      <t>R</t>
    </r>
    <r>
      <rPr>
        <vertAlign val="subscript"/>
        <sz val="11"/>
        <color theme="1"/>
        <rFont val="Calibri"/>
        <family val="2"/>
        <scheme val="minor"/>
      </rPr>
      <t>D;hout</t>
    </r>
    <r>
      <rPr>
        <sz val="11"/>
        <color theme="1"/>
        <rFont val="Calibri"/>
        <family val="2"/>
        <scheme val="minor"/>
      </rPr>
      <t xml:space="preserve"> + R</t>
    </r>
    <r>
      <rPr>
        <vertAlign val="subscript"/>
        <sz val="11"/>
        <color theme="1"/>
        <rFont val="Calibri"/>
        <family val="2"/>
        <scheme val="minor"/>
      </rPr>
      <t>se</t>
    </r>
    <r>
      <rPr>
        <sz val="11"/>
        <color theme="1"/>
        <rFont val="Calibri"/>
        <family val="2"/>
        <scheme val="minor"/>
      </rPr>
      <t xml:space="preserve"> + R</t>
    </r>
    <r>
      <rPr>
        <vertAlign val="subscript"/>
        <sz val="11"/>
        <color theme="1"/>
        <rFont val="Calibri"/>
        <family val="2"/>
        <scheme val="minor"/>
      </rPr>
      <t>si</t>
    </r>
  </si>
  <si>
    <t>b =</t>
  </si>
  <si>
    <t>a =</t>
  </si>
  <si>
    <t>λ'' =</t>
  </si>
  <si>
    <r>
      <t>λ</t>
    </r>
    <r>
      <rPr>
        <vertAlign val="subscript"/>
        <sz val="11"/>
        <rFont val="Calibri"/>
        <family val="2"/>
        <scheme val="minor"/>
      </rPr>
      <t>iso</t>
    </r>
    <r>
      <rPr>
        <sz val="11"/>
        <rFont val="Calibri"/>
        <family val="2"/>
        <scheme val="minor"/>
      </rPr>
      <t xml:space="preserve"> +</t>
    </r>
  </si>
  <si>
    <r>
      <t>λ</t>
    </r>
    <r>
      <rPr>
        <vertAlign val="subscript"/>
        <sz val="11"/>
        <rFont val="Calibri"/>
        <family val="2"/>
        <scheme val="minor"/>
      </rPr>
      <t>hout</t>
    </r>
  </si>
  <si>
    <t>a'</t>
  </si>
  <si>
    <r>
      <t>α</t>
    </r>
    <r>
      <rPr>
        <vertAlign val="subscript"/>
        <sz val="11"/>
        <rFont val="Calibri"/>
        <family val="2"/>
        <scheme val="minor"/>
      </rPr>
      <t>fa</t>
    </r>
    <r>
      <rPr>
        <sz val="11"/>
        <rFont val="Calibri"/>
        <family val="2"/>
        <scheme val="minor"/>
      </rPr>
      <t xml:space="preserve"> x (R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/ R</t>
    </r>
    <r>
      <rPr>
        <vertAlign val="subscript"/>
        <sz val="11"/>
        <rFont val="Calibri"/>
        <family val="2"/>
        <scheme val="minor"/>
      </rPr>
      <t>T</t>
    </r>
    <r>
      <rPr>
        <sz val="11"/>
        <rFont val="Calibri"/>
        <family val="2"/>
        <scheme val="minor"/>
      </rPr>
      <t>)²</t>
    </r>
  </si>
  <si>
    <r>
      <t>1/R</t>
    </r>
    <r>
      <rPr>
        <vertAlign val="subscript"/>
        <sz val="10"/>
        <rFont val="Calibri"/>
        <family val="2"/>
      </rPr>
      <t>T</t>
    </r>
  </si>
  <si>
    <t>convectie n.v.t.</t>
  </si>
  <si>
    <t>omgekeerd dak n.v.t.</t>
  </si>
  <si>
    <r>
      <t>α</t>
    </r>
    <r>
      <rPr>
        <vertAlign val="subscript"/>
        <sz val="9"/>
        <rFont val="Calibri"/>
        <family val="2"/>
        <scheme val="minor"/>
      </rPr>
      <t>fa</t>
    </r>
    <r>
      <rPr>
        <sz val="9"/>
        <rFont val="Calibri"/>
        <family val="2"/>
        <scheme val="minor"/>
      </rPr>
      <t xml:space="preserve"> = (0,8 x d</t>
    </r>
    <r>
      <rPr>
        <vertAlign val="subscript"/>
        <sz val="9"/>
        <rFont val="Calibri"/>
        <family val="2"/>
        <scheme val="minor"/>
      </rPr>
      <t>fa</t>
    </r>
    <r>
      <rPr>
        <sz val="9"/>
        <rFont val="Calibri"/>
        <family val="2"/>
        <scheme val="minor"/>
      </rPr>
      <t xml:space="preserve"> / d</t>
    </r>
    <r>
      <rPr>
        <vertAlign val="subscript"/>
        <sz val="9"/>
        <rFont val="Calibri"/>
        <family val="2"/>
        <scheme val="minor"/>
      </rPr>
      <t>iso</t>
    </r>
    <r>
      <rPr>
        <sz val="9"/>
        <rFont val="Calibri"/>
        <family val="2"/>
        <scheme val="minor"/>
      </rPr>
      <t>) x ((n</t>
    </r>
    <r>
      <rPr>
        <vertAlign val="subscript"/>
        <sz val="9"/>
        <rFont val="Calibri"/>
        <family val="2"/>
        <scheme val="minor"/>
      </rPr>
      <t>fa</t>
    </r>
    <r>
      <rPr>
        <sz val="9"/>
        <rFont val="Calibri"/>
        <family val="2"/>
        <scheme val="minor"/>
      </rPr>
      <t xml:space="preserve"> x λ</t>
    </r>
    <r>
      <rPr>
        <vertAlign val="subscript"/>
        <sz val="9"/>
        <rFont val="Calibri"/>
        <family val="2"/>
        <scheme val="minor"/>
      </rPr>
      <t>fa</t>
    </r>
    <r>
      <rPr>
        <sz val="9"/>
        <rFont val="Calibri"/>
        <family val="2"/>
        <scheme val="minor"/>
      </rPr>
      <t xml:space="preserve"> x A</t>
    </r>
    <r>
      <rPr>
        <vertAlign val="subscript"/>
        <sz val="9"/>
        <rFont val="Calibri"/>
        <family val="2"/>
        <scheme val="minor"/>
      </rPr>
      <t>fa</t>
    </r>
    <r>
      <rPr>
        <sz val="9"/>
        <rFont val="Calibri"/>
        <family val="2"/>
        <scheme val="minor"/>
      </rPr>
      <t>) / d</t>
    </r>
    <r>
      <rPr>
        <vertAlign val="subscript"/>
        <sz val="9"/>
        <rFont val="Calibri"/>
        <family val="2"/>
        <scheme val="minor"/>
      </rPr>
      <t>iso</t>
    </r>
    <r>
      <rPr>
        <sz val="9"/>
        <rFont val="Calibri"/>
        <family val="2"/>
        <scheme val="minor"/>
      </rPr>
      <t>)</t>
    </r>
  </si>
  <si>
    <r>
      <t>R</t>
    </r>
    <r>
      <rPr>
        <vertAlign val="subscript"/>
        <sz val="11"/>
        <color theme="0"/>
        <rFont val="Calibri"/>
        <family val="2"/>
        <scheme val="minor"/>
      </rPr>
      <t>D;isolatie</t>
    </r>
  </si>
  <si>
    <r>
      <t>R</t>
    </r>
    <r>
      <rPr>
        <vertAlign val="subscript"/>
        <sz val="11"/>
        <color theme="0"/>
        <rFont val="Calibri"/>
        <family val="2"/>
        <scheme val="minor"/>
      </rPr>
      <t>D;hout</t>
    </r>
  </si>
  <si>
    <r>
      <t>R</t>
    </r>
    <r>
      <rPr>
        <vertAlign val="subscript"/>
        <sz val="11"/>
        <color theme="0"/>
        <rFont val="Calibri"/>
        <family val="2"/>
        <scheme val="minor"/>
      </rPr>
      <t>T;sectie a</t>
    </r>
  </si>
  <si>
    <r>
      <t>U</t>
    </r>
    <r>
      <rPr>
        <vertAlign val="subscript"/>
        <sz val="11"/>
        <color theme="0"/>
        <rFont val="Calibri"/>
        <family val="2"/>
        <scheme val="minor"/>
      </rPr>
      <t>T;sectie a</t>
    </r>
  </si>
  <si>
    <r>
      <t>R</t>
    </r>
    <r>
      <rPr>
        <vertAlign val="subscript"/>
        <sz val="11"/>
        <color theme="0"/>
        <rFont val="Calibri"/>
        <family val="2"/>
        <scheme val="minor"/>
      </rPr>
      <t>T;sectie b</t>
    </r>
  </si>
  <si>
    <r>
      <t>U</t>
    </r>
    <r>
      <rPr>
        <vertAlign val="subscript"/>
        <sz val="11"/>
        <color theme="0"/>
        <rFont val="Calibri"/>
        <family val="2"/>
        <scheme val="minor"/>
      </rPr>
      <t>T;sectie b</t>
    </r>
  </si>
  <si>
    <r>
      <t>R</t>
    </r>
    <r>
      <rPr>
        <vertAlign val="subscript"/>
        <sz val="11"/>
        <color theme="0"/>
        <rFont val="Calibri"/>
        <family val="2"/>
        <scheme val="minor"/>
      </rPr>
      <t>T</t>
    </r>
    <r>
      <rPr>
        <sz val="11"/>
        <color theme="0"/>
        <rFont val="Calibri"/>
        <family val="2"/>
        <scheme val="minor"/>
      </rPr>
      <t>'</t>
    </r>
  </si>
  <si>
    <r>
      <t>R</t>
    </r>
    <r>
      <rPr>
        <vertAlign val="subscript"/>
        <sz val="11"/>
        <color theme="0"/>
        <rFont val="Calibri"/>
        <family val="2"/>
        <scheme val="minor"/>
      </rPr>
      <t>T</t>
    </r>
    <r>
      <rPr>
        <sz val="11"/>
        <color theme="0"/>
        <rFont val="Calibri"/>
        <family val="2"/>
        <scheme val="minor"/>
      </rPr>
      <t>''</t>
    </r>
  </si>
  <si>
    <r>
      <t>R</t>
    </r>
    <r>
      <rPr>
        <vertAlign val="subscript"/>
        <sz val="11"/>
        <color theme="0"/>
        <rFont val="Calibri"/>
        <family val="2"/>
        <scheme val="minor"/>
      </rPr>
      <t>T</t>
    </r>
  </si>
  <si>
    <r>
      <t>U</t>
    </r>
    <r>
      <rPr>
        <vertAlign val="subscript"/>
        <sz val="11"/>
        <color theme="0"/>
        <rFont val="Calibri"/>
        <family val="2"/>
        <scheme val="minor"/>
      </rPr>
      <t>T</t>
    </r>
  </si>
  <si>
    <r>
      <t>ΔU</t>
    </r>
    <r>
      <rPr>
        <vertAlign val="subscript"/>
        <sz val="11"/>
        <color theme="0"/>
        <rFont val="Calibri"/>
        <family val="2"/>
        <scheme val="minor"/>
      </rPr>
      <t>a</t>
    </r>
    <r>
      <rPr>
        <sz val="11"/>
        <color theme="0"/>
        <rFont val="Calibri"/>
        <family val="2"/>
        <scheme val="minor"/>
      </rPr>
      <t xml:space="preserve"> </t>
    </r>
  </si>
  <si>
    <r>
      <t>ΔU</t>
    </r>
    <r>
      <rPr>
        <vertAlign val="subscript"/>
        <sz val="11"/>
        <color theme="0"/>
        <rFont val="Calibri"/>
        <family val="2"/>
        <scheme val="minor"/>
      </rPr>
      <t>r</t>
    </r>
    <r>
      <rPr>
        <sz val="11"/>
        <color theme="0"/>
        <rFont val="Calibri"/>
        <family val="2"/>
        <scheme val="minor"/>
      </rPr>
      <t xml:space="preserve"> </t>
    </r>
  </si>
  <si>
    <r>
      <t>ΔU</t>
    </r>
    <r>
      <rPr>
        <vertAlign val="subscript"/>
        <sz val="11"/>
        <color theme="0"/>
        <rFont val="Calibri"/>
        <family val="2"/>
        <scheme val="minor"/>
      </rPr>
      <t xml:space="preserve">fa </t>
    </r>
  </si>
  <si>
    <r>
      <t>U</t>
    </r>
    <r>
      <rPr>
        <vertAlign val="subscript"/>
        <sz val="11"/>
        <color theme="0"/>
        <rFont val="Calibri"/>
        <family val="2"/>
        <scheme val="minor"/>
      </rPr>
      <t>C</t>
    </r>
  </si>
  <si>
    <r>
      <t>R</t>
    </r>
    <r>
      <rPr>
        <vertAlign val="subscript"/>
        <sz val="11"/>
        <color theme="0"/>
        <rFont val="Calibri"/>
        <family val="2"/>
        <scheme val="minor"/>
      </rPr>
      <t>C</t>
    </r>
  </si>
  <si>
    <t>8.4</t>
  </si>
  <si>
    <t>8.6</t>
  </si>
  <si>
    <t>8.7</t>
  </si>
  <si>
    <t>tabel C.2</t>
  </si>
  <si>
    <t>gevel</t>
  </si>
  <si>
    <t>dak</t>
  </si>
  <si>
    <t>8.8</t>
  </si>
  <si>
    <t>8.9</t>
  </si>
  <si>
    <t>8.11 en 8.12</t>
  </si>
  <si>
    <t>C.1</t>
  </si>
  <si>
    <t>tabel C1</t>
  </si>
  <si>
    <t>C.4</t>
  </si>
  <si>
    <t>C.5</t>
  </si>
  <si>
    <t>C.6</t>
  </si>
  <si>
    <t>E.1</t>
  </si>
  <si>
    <t>geen</t>
  </si>
  <si>
    <t>gegavaniseerd staal</t>
  </si>
  <si>
    <t>RVS</t>
  </si>
  <si>
    <t/>
  </si>
  <si>
    <t>tabel H.1</t>
  </si>
  <si>
    <t>n.v.t.</t>
  </si>
  <si>
    <r>
      <t>d</t>
    </r>
    <r>
      <rPr>
        <vertAlign val="subscript"/>
        <sz val="11"/>
        <color theme="0"/>
        <rFont val="Calibri"/>
        <family val="2"/>
        <scheme val="minor"/>
      </rPr>
      <t>iso</t>
    </r>
  </si>
  <si>
    <t>CE label</t>
  </si>
  <si>
    <t>I.2.1.4</t>
  </si>
  <si>
    <t>ja</t>
  </si>
  <si>
    <t>nee</t>
  </si>
  <si>
    <t>Wordt de isolatie doorbroken door houten regels?</t>
  </si>
  <si>
    <t>vloer op zand</t>
  </si>
  <si>
    <t>vloer boven onverwarmde ruimte</t>
  </si>
  <si>
    <t>Opmer- king</t>
  </si>
  <si>
    <t xml:space="preserve">Constructie </t>
  </si>
  <si>
    <t>Bevestigers</t>
  </si>
  <si>
    <r>
      <t>ʎ</t>
    </r>
    <r>
      <rPr>
        <sz val="10.8"/>
        <color theme="1"/>
        <rFont val="Calibri"/>
        <family val="2"/>
      </rPr>
      <t xml:space="preserve"> isolatie materiaal (reken)</t>
    </r>
  </si>
  <si>
    <t>tabel E5</t>
  </si>
  <si>
    <r>
      <t>F</t>
    </r>
    <r>
      <rPr>
        <sz val="6"/>
        <color theme="1"/>
        <rFont val="Calibri"/>
        <family val="2"/>
        <scheme val="minor"/>
      </rPr>
      <t>A:iso</t>
    </r>
  </si>
  <si>
    <r>
      <t>F</t>
    </r>
    <r>
      <rPr>
        <sz val="6"/>
        <color theme="1"/>
        <rFont val="Calibri"/>
        <family val="2"/>
        <scheme val="minor"/>
      </rPr>
      <t>A:appl B</t>
    </r>
  </si>
  <si>
    <t>tussen gording</t>
  </si>
  <si>
    <t>Dak 1</t>
  </si>
  <si>
    <t>Dak 2</t>
  </si>
  <si>
    <t>Gevel</t>
  </si>
  <si>
    <t xml:space="preserve">Vloer </t>
  </si>
  <si>
    <t>Dikte mm</t>
  </si>
  <si>
    <t>dikte</t>
  </si>
  <si>
    <t>Gecontroleerde Kwaliteitsverklaring</t>
  </si>
  <si>
    <t>Isolatiedikte mm</t>
  </si>
  <si>
    <r>
      <t>R</t>
    </r>
    <r>
      <rPr>
        <sz val="6"/>
        <color theme="1"/>
        <rFont val="Calibri"/>
        <family val="2"/>
        <scheme val="minor"/>
      </rPr>
      <t xml:space="preserve">c </t>
    </r>
    <r>
      <rPr>
        <sz val="11"/>
        <color theme="1"/>
        <rFont val="Calibri"/>
        <family val="2"/>
        <scheme val="minor"/>
      </rPr>
      <t>(m2K/W)</t>
    </r>
  </si>
  <si>
    <t>Codering:</t>
  </si>
  <si>
    <t>Betreft:</t>
  </si>
  <si>
    <t>Toepassing:</t>
  </si>
  <si>
    <t>Fabrikant:</t>
  </si>
  <si>
    <t>Type:</t>
  </si>
  <si>
    <t>Ingangsdatum verklaring:</t>
  </si>
  <si>
    <t>Geldigheidduur verklaring:</t>
  </si>
  <si>
    <t>ononderbroken</t>
  </si>
  <si>
    <t>ʎd</t>
  </si>
  <si>
    <t>ʎ reken</t>
  </si>
  <si>
    <t>ʎ reken afgerond</t>
  </si>
  <si>
    <t>all</t>
  </si>
  <si>
    <t>W/mK</t>
  </si>
  <si>
    <t>Productnaam:</t>
  </si>
  <si>
    <r>
      <t>Vloer R</t>
    </r>
    <r>
      <rPr>
        <b/>
        <sz val="8"/>
        <color theme="1"/>
        <rFont val="Calibri"/>
        <family val="2"/>
        <scheme val="minor"/>
      </rPr>
      <t>c</t>
    </r>
    <r>
      <rPr>
        <b/>
        <sz val="11"/>
        <color theme="1"/>
        <rFont val="Calibri"/>
        <family val="2"/>
        <scheme val="minor"/>
      </rPr>
      <t>/Rbf</t>
    </r>
  </si>
  <si>
    <t>&gt;  toepassing NTA8800</t>
  </si>
  <si>
    <t>Monster</t>
  </si>
  <si>
    <t>Lambdawaarde (W/m.K)</t>
  </si>
  <si>
    <r>
      <t>l</t>
    </r>
    <r>
      <rPr>
        <sz val="10"/>
        <rFont val="Arial"/>
        <family val="2"/>
      </rPr>
      <t>avg</t>
    </r>
  </si>
  <si>
    <t>n</t>
  </si>
  <si>
    <t>k</t>
  </si>
  <si>
    <t>St dev</t>
  </si>
  <si>
    <t>Lambda 90/90</t>
  </si>
  <si>
    <t>Lambda D</t>
  </si>
  <si>
    <t>Gemiddelde</t>
  </si>
  <si>
    <t xml:space="preserve">Meet resultaat </t>
  </si>
  <si>
    <t>Gemeten door</t>
  </si>
  <si>
    <t>&gt;</t>
  </si>
  <si>
    <t>rekenkundig afronden</t>
  </si>
  <si>
    <r>
      <t>R</t>
    </r>
    <r>
      <rPr>
        <vertAlign val="subscript"/>
        <sz val="10"/>
        <rFont val="Calibri"/>
        <family val="2"/>
      </rPr>
      <t>T</t>
    </r>
    <r>
      <rPr>
        <sz val="10"/>
        <rFont val="Calibri"/>
        <family val="2"/>
      </rPr>
      <t xml:space="preserve"> = ((a' x R</t>
    </r>
    <r>
      <rPr>
        <vertAlign val="subscript"/>
        <sz val="10"/>
        <color indexed="8"/>
        <rFont val="Calibri"/>
        <family val="2"/>
      </rPr>
      <t>T</t>
    </r>
    <r>
      <rPr>
        <sz val="10"/>
        <rFont val="Calibri"/>
        <family val="2"/>
      </rPr>
      <t>' + R</t>
    </r>
    <r>
      <rPr>
        <vertAlign val="subscript"/>
        <sz val="10"/>
        <color indexed="8"/>
        <rFont val="Calibri"/>
        <family val="2"/>
      </rPr>
      <t>T</t>
    </r>
    <r>
      <rPr>
        <sz val="10"/>
        <rFont val="Calibri"/>
        <family val="2"/>
      </rPr>
      <t>'') / (1 + 1,05 x a'))</t>
    </r>
  </si>
  <si>
    <r>
      <t>Is R' ≤ 1,05 x (R''</t>
    </r>
    <r>
      <rPr>
        <sz val="10"/>
        <color indexed="8"/>
        <rFont val="Calibri"/>
        <family val="2"/>
      </rPr>
      <t>)?</t>
    </r>
  </si>
  <si>
    <r>
      <t>R</t>
    </r>
    <r>
      <rPr>
        <vertAlign val="subscript"/>
        <sz val="11"/>
        <rFont val="Calibri"/>
        <family val="2"/>
        <scheme val="minor"/>
      </rPr>
      <t>D;iso</t>
    </r>
    <r>
      <rPr>
        <sz val="11"/>
        <rFont val="Calibri"/>
        <family val="2"/>
        <scheme val="minor"/>
      </rPr>
      <t xml:space="preserve"> + R</t>
    </r>
    <r>
      <rPr>
        <vertAlign val="subscript"/>
        <sz val="11"/>
        <rFont val="Calibri"/>
        <family val="2"/>
        <scheme val="minor"/>
      </rPr>
      <t>se</t>
    </r>
    <r>
      <rPr>
        <sz val="11"/>
        <rFont val="Calibri"/>
        <family val="2"/>
        <scheme val="minor"/>
      </rPr>
      <t xml:space="preserve"> + R</t>
    </r>
    <r>
      <rPr>
        <vertAlign val="subscript"/>
        <sz val="11"/>
        <rFont val="Calibri"/>
        <family val="2"/>
        <scheme val="minor"/>
      </rPr>
      <t>si</t>
    </r>
  </si>
  <si>
    <t>Rad =</t>
  </si>
  <si>
    <r>
      <rPr>
        <sz val="11"/>
        <rFont val="Calibri"/>
        <family val="2"/>
      </rPr>
      <t>d/λ</t>
    </r>
    <r>
      <rPr>
        <vertAlign val="subscript"/>
        <sz val="11"/>
        <color theme="1"/>
        <rFont val="Calibri"/>
        <family val="2"/>
        <scheme val="minor"/>
      </rPr>
      <t>''</t>
    </r>
    <r>
      <rPr>
        <sz val="11"/>
        <color theme="1"/>
        <rFont val="Calibri"/>
        <family val="2"/>
        <scheme val="minor"/>
      </rPr>
      <t xml:space="preserve"> + R</t>
    </r>
    <r>
      <rPr>
        <vertAlign val="subscript"/>
        <sz val="11"/>
        <color theme="1"/>
        <rFont val="Calibri"/>
        <family val="2"/>
        <scheme val="minor"/>
      </rPr>
      <t>se</t>
    </r>
    <r>
      <rPr>
        <sz val="11"/>
        <color theme="1"/>
        <rFont val="Calibri"/>
        <family val="2"/>
        <scheme val="minor"/>
      </rPr>
      <t xml:space="preserve"> + R</t>
    </r>
    <r>
      <rPr>
        <vertAlign val="subscript"/>
        <sz val="11"/>
        <color theme="1"/>
        <rFont val="Calibri"/>
        <family val="2"/>
        <scheme val="minor"/>
      </rPr>
      <t>si</t>
    </r>
  </si>
  <si>
    <r>
      <t>1 / U</t>
    </r>
    <r>
      <rPr>
        <vertAlign val="subscript"/>
        <sz val="11"/>
        <rFont val="Calibri"/>
        <family val="2"/>
        <scheme val="minor"/>
      </rPr>
      <t>C</t>
    </r>
    <r>
      <rPr>
        <sz val="11"/>
        <rFont val="Calibri"/>
        <family val="2"/>
        <scheme val="minor"/>
      </rPr>
      <t xml:space="preserve"> - R</t>
    </r>
    <r>
      <rPr>
        <vertAlign val="subscript"/>
        <sz val="11"/>
        <rFont val="Calibri"/>
        <family val="2"/>
        <scheme val="minor"/>
      </rPr>
      <t>si</t>
    </r>
    <r>
      <rPr>
        <sz val="11"/>
        <rFont val="Calibri"/>
        <family val="2"/>
        <scheme val="minor"/>
      </rPr>
      <t xml:space="preserve"> - R</t>
    </r>
    <r>
      <rPr>
        <vertAlign val="subscript"/>
        <sz val="11"/>
        <rFont val="Calibri"/>
        <family val="2"/>
        <scheme val="minor"/>
      </rPr>
      <t>se+</t>
    </r>
    <r>
      <rPr>
        <sz val="11"/>
        <rFont val="Calibri"/>
        <family val="2"/>
        <scheme val="minor"/>
      </rPr>
      <t>R</t>
    </r>
    <r>
      <rPr>
        <vertAlign val="subscript"/>
        <sz val="11"/>
        <rFont val="Calibri"/>
        <family val="2"/>
        <scheme val="minor"/>
      </rPr>
      <t>ad</t>
    </r>
  </si>
  <si>
    <t>Let op 3% regel uit de NTA 8800 wordt in deze rekensheet niet toegepast</t>
  </si>
  <si>
    <r>
      <t>Gevel R</t>
    </r>
    <r>
      <rPr>
        <b/>
        <sz val="8"/>
        <color theme="1"/>
        <rFont val="Calibri"/>
        <family val="2"/>
        <scheme val="minor"/>
      </rPr>
      <t>c</t>
    </r>
  </si>
  <si>
    <r>
      <t>Dak R</t>
    </r>
    <r>
      <rPr>
        <b/>
        <sz val="8"/>
        <color theme="1"/>
        <rFont val="Calibri"/>
        <family val="2"/>
        <scheme val="minor"/>
      </rPr>
      <t>c</t>
    </r>
  </si>
  <si>
    <t>uitkomst onder  0,1 -&gt;  isolatiemateriaal</t>
  </si>
  <si>
    <t>Versie 2024:1</t>
  </si>
  <si>
    <t>Tabel  - Meetresultaten proefstukken geaclimatiseerd bij 23°C en 50%RV Versie 2024:1</t>
  </si>
  <si>
    <t>NTA8800:</t>
  </si>
  <si>
    <t>aantal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</si>
</sst>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0"/>
    <numFmt numFmtId="165" formatCode="0.0"/>
    <numFmt numFmtId="166" formatCode="0.000"/>
    <numFmt numFmtId="167" formatCode="0.0%"/>
    <numFmt numFmtId="168" formatCode="0.000000"/>
    <numFmt numFmtId="169" formatCode="0.00000"/>
    <numFmt numFmtId="170" formatCode="######0.0000"/>
  </numFmts>
  <fonts count="30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</font>
    <font>
      <sz val="10"/>
      <color indexed="8"/>
      <name val="Calibri"/>
      <family val="2"/>
      <scheme val="minor"/>
    </font>
    <font>
      <vertAlign val="subscript"/>
      <sz val="10"/>
      <color indexed="8"/>
      <name val="Calibri"/>
      <family val="2"/>
    </font>
    <font>
      <sz val="10"/>
      <color indexed="8"/>
      <name val="Calibri"/>
      <family val="2"/>
    </font>
    <font>
      <vertAlign val="subscript"/>
      <sz val="10"/>
      <name val="Calibri"/>
      <family val="2"/>
    </font>
    <font>
      <sz val="10"/>
      <name val="Calibri"/>
      <family val="2"/>
    </font>
    <font>
      <vertAlign val="subscript"/>
      <sz val="9"/>
      <name val="Calibri"/>
      <family val="2"/>
      <scheme val="minor"/>
    </font>
    <font>
      <vertAlign val="subscript"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0.8"/>
      <color theme="1"/>
      <name val="Calibri"/>
      <family val="2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ymbol"/>
      <family val="1"/>
      <charset val="2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5" fillId="0" borderId="0"/>
  </cellStyleXfs>
  <cellXfs count="242">
    <xf numFmtId="0" fontId="0" fillId="0" borderId="0" xfId="0"/>
    <xf numFmtId="0" fontId="2" fillId="3" borderId="3" xfId="0" applyFont="1" applyFill="1" applyBorder="1" applyAlignment="1" applyProtection="1">
      <alignment horizontal="right" vertical="center" wrapText="1"/>
      <protection hidden="1"/>
    </xf>
    <xf numFmtId="0" fontId="2" fillId="3" borderId="0" xfId="0" applyFont="1" applyFill="1" applyAlignment="1" applyProtection="1">
      <alignment horizontal="left" vertical="center" wrapText="1"/>
      <protection hidden="1"/>
    </xf>
    <xf numFmtId="0" fontId="2" fillId="3" borderId="4" xfId="0" applyFont="1" applyFill="1" applyBorder="1" applyAlignment="1" applyProtection="1">
      <alignment horizontal="right" vertical="center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2" fontId="2" fillId="3" borderId="3" xfId="0" applyNumberFormat="1" applyFont="1" applyFill="1" applyBorder="1" applyAlignment="1" applyProtection="1">
      <alignment horizontal="right" vertical="center" wrapText="1"/>
      <protection hidden="1"/>
    </xf>
    <xf numFmtId="2" fontId="2" fillId="3" borderId="0" xfId="0" applyNumberFormat="1" applyFont="1" applyFill="1" applyAlignment="1" applyProtection="1">
      <alignment horizontal="right" vertical="center" wrapText="1"/>
      <protection hidden="1"/>
    </xf>
    <xf numFmtId="2" fontId="2" fillId="3" borderId="4" xfId="0" applyNumberFormat="1" applyFont="1" applyFill="1" applyBorder="1" applyAlignment="1" applyProtection="1">
      <alignment horizontal="right" vertical="center" wrapText="1"/>
      <protection hidden="1"/>
    </xf>
    <xf numFmtId="2" fontId="2" fillId="3" borderId="0" xfId="0" applyNumberFormat="1" applyFont="1" applyFill="1" applyAlignment="1" applyProtection="1">
      <alignment horizontal="left" vertical="center" wrapText="1"/>
      <protection hidden="1"/>
    </xf>
    <xf numFmtId="0" fontId="6" fillId="4" borderId="24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/>
      <protection hidden="1"/>
    </xf>
    <xf numFmtId="0" fontId="6" fillId="4" borderId="24" xfId="0" quotePrefix="1" applyFont="1" applyFill="1" applyBorder="1" applyAlignment="1" applyProtection="1">
      <alignment horizontal="center" vertical="center"/>
      <protection hidden="1"/>
    </xf>
    <xf numFmtId="0" fontId="6" fillId="4" borderId="11" xfId="0" quotePrefix="1" applyFont="1" applyFill="1" applyBorder="1" applyAlignment="1" applyProtection="1">
      <alignment horizontal="center" vertical="center"/>
      <protection hidden="1"/>
    </xf>
    <xf numFmtId="0" fontId="6" fillId="4" borderId="6" xfId="0" applyFont="1" applyFill="1" applyBorder="1" applyAlignment="1" applyProtection="1">
      <alignment horizontal="center" vertical="center"/>
      <protection hidden="1"/>
    </xf>
    <xf numFmtId="0" fontId="6" fillId="4" borderId="12" xfId="0" applyFont="1" applyFill="1" applyBorder="1" applyAlignment="1" applyProtection="1">
      <alignment horizontal="center" vertical="center"/>
      <protection hidden="1"/>
    </xf>
    <xf numFmtId="2" fontId="2" fillId="3" borderId="2" xfId="0" applyNumberFormat="1" applyFont="1" applyFill="1" applyBorder="1" applyAlignment="1" applyProtection="1">
      <alignment horizontal="left" vertical="center" wrapText="1"/>
      <protection hidden="1"/>
    </xf>
    <xf numFmtId="9" fontId="2" fillId="3" borderId="4" xfId="0" applyNumberFormat="1" applyFont="1" applyFill="1" applyBorder="1" applyAlignment="1" applyProtection="1">
      <alignment horizontal="right" wrapText="1"/>
      <protection hidden="1"/>
    </xf>
    <xf numFmtId="0" fontId="0" fillId="0" borderId="0" xfId="0" applyAlignment="1" applyProtection="1">
      <alignment vertical="center"/>
      <protection locked="0"/>
    </xf>
    <xf numFmtId="10" fontId="6" fillId="5" borderId="2" xfId="1" applyNumberFormat="1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2" fontId="0" fillId="0" borderId="0" xfId="0" applyNumberForma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0" borderId="0" xfId="0" quotePrefix="1" applyProtection="1">
      <protection hidden="1"/>
    </xf>
    <xf numFmtId="0" fontId="0" fillId="0" borderId="0" xfId="0" quotePrefix="1" applyAlignment="1" applyProtection="1">
      <alignment vertical="center"/>
      <protection hidden="1"/>
    </xf>
    <xf numFmtId="0" fontId="6" fillId="4" borderId="21" xfId="0" applyFont="1" applyFill="1" applyBorder="1" applyAlignment="1" applyProtection="1">
      <alignment horizontal="center" vertical="center"/>
      <protection hidden="1"/>
    </xf>
    <xf numFmtId="0" fontId="6" fillId="4" borderId="23" xfId="0" applyFont="1" applyFill="1" applyBorder="1" applyAlignment="1" applyProtection="1">
      <alignment horizontal="center" vertical="center"/>
      <protection hidden="1"/>
    </xf>
    <xf numFmtId="0" fontId="6" fillId="4" borderId="14" xfId="0" applyFont="1" applyFill="1" applyBorder="1" applyAlignment="1" applyProtection="1">
      <alignment horizontal="center" vertical="center"/>
      <protection hidden="1"/>
    </xf>
    <xf numFmtId="2" fontId="10" fillId="0" borderId="0" xfId="0" applyNumberFormat="1" applyFont="1" applyAlignment="1" applyProtection="1">
      <alignment vertical="center"/>
      <protection hidden="1"/>
    </xf>
    <xf numFmtId="164" fontId="0" fillId="0" borderId="0" xfId="0" applyNumberFormat="1" applyProtection="1">
      <protection hidden="1"/>
    </xf>
    <xf numFmtId="166" fontId="0" fillId="3" borderId="0" xfId="0" applyNumberFormat="1" applyFill="1" applyAlignment="1" applyProtection="1">
      <alignment vertical="center"/>
      <protection hidden="1"/>
    </xf>
    <xf numFmtId="2" fontId="0" fillId="3" borderId="0" xfId="0" applyNumberFormat="1" applyFill="1" applyAlignment="1" applyProtection="1">
      <alignment vertical="center"/>
      <protection hidden="1"/>
    </xf>
    <xf numFmtId="0" fontId="0" fillId="3" borderId="8" xfId="0" applyFill="1" applyBorder="1" applyAlignment="1" applyProtection="1">
      <alignment horizontal="right" vertical="center"/>
      <protection hidden="1"/>
    </xf>
    <xf numFmtId="0" fontId="0" fillId="3" borderId="3" xfId="0" applyFill="1" applyBorder="1" applyAlignment="1" applyProtection="1">
      <alignment horizontal="right" vertical="center"/>
      <protection hidden="1"/>
    </xf>
    <xf numFmtId="10" fontId="0" fillId="3" borderId="2" xfId="1" applyNumberFormat="1" applyFont="1" applyFill="1" applyBorder="1" applyAlignment="1" applyProtection="1">
      <protection hidden="1"/>
    </xf>
    <xf numFmtId="2" fontId="0" fillId="3" borderId="2" xfId="0" applyNumberFormat="1" applyFill="1" applyBorder="1" applyAlignment="1" applyProtection="1">
      <alignment vertical="center"/>
      <protection hidden="1"/>
    </xf>
    <xf numFmtId="165" fontId="0" fillId="0" borderId="0" xfId="0" applyNumberFormat="1" applyProtection="1">
      <protection hidden="1"/>
    </xf>
    <xf numFmtId="164" fontId="0" fillId="0" borderId="3" xfId="0" applyNumberFormat="1" applyBorder="1" applyProtection="1">
      <protection hidden="1"/>
    </xf>
    <xf numFmtId="165" fontId="0" fillId="0" borderId="7" xfId="0" applyNumberFormat="1" applyBorder="1" applyProtection="1">
      <protection hidden="1"/>
    </xf>
    <xf numFmtId="168" fontId="0" fillId="0" borderId="0" xfId="0" applyNumberFormat="1" applyProtection="1">
      <protection hidden="1"/>
    </xf>
    <xf numFmtId="0" fontId="0" fillId="0" borderId="1" xfId="0" applyBorder="1" applyProtection="1">
      <protection hidden="1"/>
    </xf>
    <xf numFmtId="2" fontId="6" fillId="5" borderId="0" xfId="0" applyNumberFormat="1" applyFont="1" applyFill="1" applyAlignment="1" applyProtection="1">
      <alignment horizontal="right" vertical="center" wrapText="1"/>
      <protection locked="0"/>
    </xf>
    <xf numFmtId="0" fontId="19" fillId="2" borderId="0" xfId="0" applyFont="1" applyFill="1" applyAlignment="1" applyProtection="1">
      <alignment vertical="center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hidden="1"/>
    </xf>
    <xf numFmtId="1" fontId="0" fillId="0" borderId="3" xfId="0" applyNumberFormat="1" applyBorder="1" applyProtection="1">
      <protection hidden="1"/>
    </xf>
    <xf numFmtId="164" fontId="17" fillId="0" borderId="13" xfId="0" applyNumberFormat="1" applyFont="1" applyBorder="1" applyAlignment="1" applyProtection="1">
      <alignment horizontal="center" vertical="center" textRotation="90"/>
      <protection hidden="1"/>
    </xf>
    <xf numFmtId="164" fontId="17" fillId="0" borderId="14" xfId="0" applyNumberFormat="1" applyFont="1" applyBorder="1" applyAlignment="1" applyProtection="1">
      <alignment horizontal="center" vertical="center" textRotation="90"/>
      <protection hidden="1"/>
    </xf>
    <xf numFmtId="164" fontId="0" fillId="0" borderId="11" xfId="0" applyNumberFormat="1" applyBorder="1" applyProtection="1">
      <protection hidden="1"/>
    </xf>
    <xf numFmtId="0" fontId="0" fillId="0" borderId="1" xfId="0" applyBorder="1" applyAlignment="1" applyProtection="1">
      <alignment vertical="center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0" fontId="0" fillId="0" borderId="30" xfId="0" applyBorder="1" applyAlignment="1" applyProtection="1">
      <alignment horizontal="center" vertical="center"/>
      <protection hidden="1"/>
    </xf>
    <xf numFmtId="2" fontId="0" fillId="0" borderId="27" xfId="0" applyNumberFormat="1" applyBorder="1" applyAlignment="1" applyProtection="1">
      <alignment horizontal="center" vertical="center"/>
      <protection hidden="1"/>
    </xf>
    <xf numFmtId="0" fontId="0" fillId="2" borderId="10" xfId="0" applyFill="1" applyBorder="1" applyProtection="1">
      <protection hidden="1"/>
    </xf>
    <xf numFmtId="0" fontId="22" fillId="2" borderId="17" xfId="0" applyFont="1" applyFill="1" applyBorder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/>
      <protection hidden="1"/>
    </xf>
    <xf numFmtId="0" fontId="0" fillId="6" borderId="10" xfId="0" applyFill="1" applyBorder="1" applyProtection="1">
      <protection hidden="1"/>
    </xf>
    <xf numFmtId="0" fontId="22" fillId="2" borderId="10" xfId="0" applyFont="1" applyFill="1" applyBorder="1" applyAlignment="1" applyProtection="1">
      <alignment horizontal="center"/>
      <protection hidden="1"/>
    </xf>
    <xf numFmtId="0" fontId="24" fillId="2" borderId="17" xfId="0" applyFont="1" applyFill="1" applyBorder="1" applyAlignment="1" applyProtection="1">
      <alignment horizontal="center" vertical="top"/>
      <protection hidden="1"/>
    </xf>
    <xf numFmtId="0" fontId="0" fillId="7" borderId="0" xfId="0" applyFill="1" applyAlignment="1" applyProtection="1">
      <alignment horizontal="center" vertical="center"/>
      <protection hidden="1"/>
    </xf>
    <xf numFmtId="2" fontId="0" fillId="2" borderId="12" xfId="0" applyNumberFormat="1" applyFill="1" applyBorder="1" applyAlignment="1" applyProtection="1">
      <alignment horizontal="center" vertical="center"/>
      <protection hidden="1"/>
    </xf>
    <xf numFmtId="2" fontId="0" fillId="2" borderId="27" xfId="0" applyNumberFormat="1" applyFill="1" applyBorder="1" applyAlignment="1" applyProtection="1">
      <alignment horizontal="center" vertical="center"/>
      <protection hidden="1"/>
    </xf>
    <xf numFmtId="2" fontId="0" fillId="2" borderId="32" xfId="0" applyNumberFormat="1" applyFill="1" applyBorder="1" applyAlignment="1" applyProtection="1">
      <alignment horizontal="center" vertical="center"/>
      <protection hidden="1"/>
    </xf>
    <xf numFmtId="0" fontId="22" fillId="2" borderId="16" xfId="0" applyFont="1" applyFill="1" applyBorder="1" applyAlignment="1" applyProtection="1">
      <alignment horizontal="center"/>
      <protection hidden="1"/>
    </xf>
    <xf numFmtId="0" fontId="24" fillId="2" borderId="5" xfId="0" applyFont="1" applyFill="1" applyBorder="1" applyAlignment="1" applyProtection="1">
      <alignment horizontal="center" vertical="top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0" fillId="0" borderId="29" xfId="0" applyBorder="1" applyAlignment="1" applyProtection="1">
      <alignment horizontal="center"/>
      <protection hidden="1"/>
    </xf>
    <xf numFmtId="0" fontId="22" fillId="0" borderId="1" xfId="0" applyFont="1" applyBorder="1" applyAlignment="1" applyProtection="1">
      <alignment horizont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2" fontId="0" fillId="0" borderId="28" xfId="0" applyNumberFormat="1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vertical="center"/>
      <protection hidden="1"/>
    </xf>
    <xf numFmtId="0" fontId="22" fillId="7" borderId="28" xfId="0" applyFont="1" applyFill="1" applyBorder="1" applyAlignment="1" applyProtection="1">
      <alignment horizontal="center" vertical="center"/>
      <protection hidden="1"/>
    </xf>
    <xf numFmtId="166" fontId="6" fillId="5" borderId="29" xfId="0" applyNumberFormat="1" applyFont="1" applyFill="1" applyBorder="1" applyAlignment="1" applyProtection="1">
      <alignment horizontal="center"/>
      <protection hidden="1"/>
    </xf>
    <xf numFmtId="2" fontId="2" fillId="2" borderId="33" xfId="0" applyNumberFormat="1" applyFont="1" applyFill="1" applyBorder="1" applyAlignment="1" applyProtection="1">
      <alignment horizontal="center" vertical="center"/>
      <protection hidden="1"/>
    </xf>
    <xf numFmtId="0" fontId="0" fillId="2" borderId="27" xfId="0" applyFill="1" applyBorder="1" applyProtection="1">
      <protection hidden="1"/>
    </xf>
    <xf numFmtId="0" fontId="22" fillId="2" borderId="27" xfId="0" applyFont="1" applyFill="1" applyBorder="1" applyProtection="1">
      <protection hidden="1"/>
    </xf>
    <xf numFmtId="0" fontId="0" fillId="2" borderId="0" xfId="0" applyFill="1" applyProtection="1">
      <protection hidden="1"/>
    </xf>
    <xf numFmtId="0" fontId="0" fillId="2" borderId="23" xfId="0" applyFill="1" applyBorder="1" applyAlignment="1" applyProtection="1">
      <alignment horizontal="center" vertical="center"/>
      <protection hidden="1"/>
    </xf>
    <xf numFmtId="2" fontId="0" fillId="2" borderId="31" xfId="0" applyNumberFormat="1" applyFill="1" applyBorder="1" applyAlignment="1" applyProtection="1">
      <alignment horizontal="center" vertical="center"/>
      <protection hidden="1"/>
    </xf>
    <xf numFmtId="2" fontId="0" fillId="2" borderId="46" xfId="0" applyNumberFormat="1" applyFill="1" applyBorder="1" applyAlignment="1" applyProtection="1">
      <alignment horizontal="center" vertical="center"/>
      <protection hidden="1"/>
    </xf>
    <xf numFmtId="0" fontId="0" fillId="2" borderId="39" xfId="0" applyFill="1" applyBorder="1" applyAlignment="1" applyProtection="1">
      <alignment horizontal="center" vertical="center"/>
      <protection hidden="1"/>
    </xf>
    <xf numFmtId="2" fontId="0" fillId="2" borderId="33" xfId="0" applyNumberFormat="1" applyFill="1" applyBorder="1" applyAlignment="1" applyProtection="1">
      <alignment horizontal="center" vertical="center"/>
      <protection hidden="1"/>
    </xf>
    <xf numFmtId="0" fontId="0" fillId="2" borderId="40" xfId="0" applyFill="1" applyBorder="1" applyAlignment="1" applyProtection="1">
      <alignment horizontal="center" vertical="center"/>
      <protection hidden="1"/>
    </xf>
    <xf numFmtId="2" fontId="0" fillId="2" borderId="34" xfId="0" applyNumberFormat="1" applyFill="1" applyBorder="1" applyAlignment="1" applyProtection="1">
      <alignment horizontal="center" vertical="center"/>
      <protection hidden="1"/>
    </xf>
    <xf numFmtId="0" fontId="0" fillId="2" borderId="0" xfId="0" applyFill="1"/>
    <xf numFmtId="0" fontId="0" fillId="0" borderId="27" xfId="0" applyBorder="1" applyAlignment="1" applyProtection="1">
      <alignment horizontal="center" vertical="center"/>
      <protection hidden="1"/>
    </xf>
    <xf numFmtId="0" fontId="22" fillId="0" borderId="27" xfId="0" applyFont="1" applyBorder="1"/>
    <xf numFmtId="2" fontId="0" fillId="0" borderId="47" xfId="0" applyNumberFormat="1" applyBorder="1" applyAlignment="1" applyProtection="1">
      <alignment horizontal="center" vertical="center"/>
      <protection hidden="1"/>
    </xf>
    <xf numFmtId="2" fontId="0" fillId="0" borderId="44" xfId="0" applyNumberFormat="1" applyBorder="1" applyAlignment="1" applyProtection="1">
      <alignment horizontal="center" vertical="center"/>
      <protection hidden="1"/>
    </xf>
    <xf numFmtId="2" fontId="0" fillId="0" borderId="45" xfId="0" applyNumberFormat="1" applyBorder="1" applyAlignment="1" applyProtection="1">
      <alignment horizontal="center" vertical="center"/>
      <protection hidden="1"/>
    </xf>
    <xf numFmtId="169" fontId="0" fillId="2" borderId="28" xfId="0" applyNumberFormat="1" applyFill="1" applyBorder="1" applyAlignment="1" applyProtection="1">
      <alignment horizontal="center" vertical="center"/>
      <protection hidden="1"/>
    </xf>
    <xf numFmtId="0" fontId="5" fillId="0" borderId="0" xfId="2" applyAlignment="1" applyProtection="1">
      <alignment vertical="center"/>
      <protection hidden="1"/>
    </xf>
    <xf numFmtId="0" fontId="22" fillId="6" borderId="17" xfId="0" applyFont="1" applyFill="1" applyBorder="1" applyAlignment="1" applyProtection="1">
      <alignment horizontal="left" vertical="center"/>
      <protection hidden="1"/>
    </xf>
    <xf numFmtId="0" fontId="25" fillId="0" borderId="0" xfId="0" applyFont="1"/>
    <xf numFmtId="0" fontId="0" fillId="8" borderId="48" xfId="0" applyFill="1" applyBorder="1" applyAlignment="1">
      <alignment horizontal="center"/>
    </xf>
    <xf numFmtId="0" fontId="0" fillId="8" borderId="48" xfId="0" applyFill="1" applyBorder="1" applyAlignment="1">
      <alignment horizontal="center" wrapText="1"/>
    </xf>
    <xf numFmtId="0" fontId="0" fillId="8" borderId="27" xfId="0" applyFill="1" applyBorder="1" applyAlignment="1">
      <alignment horizontal="center" wrapText="1"/>
    </xf>
    <xf numFmtId="0" fontId="0" fillId="0" borderId="27" xfId="0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0" fontId="26" fillId="0" borderId="51" xfId="0" applyFont="1" applyBorder="1"/>
    <xf numFmtId="164" fontId="0" fillId="0" borderId="52" xfId="0" applyNumberFormat="1" applyBorder="1" applyAlignment="1">
      <alignment horizontal="center"/>
    </xf>
    <xf numFmtId="0" fontId="0" fillId="0" borderId="53" xfId="0" applyBorder="1"/>
    <xf numFmtId="0" fontId="0" fillId="0" borderId="54" xfId="0" applyBorder="1" applyAlignment="1">
      <alignment horizontal="center"/>
    </xf>
    <xf numFmtId="170" fontId="0" fillId="0" borderId="54" xfId="0" applyNumberFormat="1" applyBorder="1" applyAlignment="1">
      <alignment horizontal="center"/>
    </xf>
    <xf numFmtId="0" fontId="0" fillId="0" borderId="55" xfId="0" applyBorder="1"/>
    <xf numFmtId="164" fontId="0" fillId="0" borderId="56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6" borderId="38" xfId="0" applyFill="1" applyBorder="1"/>
    <xf numFmtId="166" fontId="22" fillId="7" borderId="5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2" fillId="0" borderId="58" xfId="0" applyFont="1" applyBorder="1" applyAlignment="1">
      <alignment horizontal="center"/>
    </xf>
    <xf numFmtId="164" fontId="0" fillId="0" borderId="59" xfId="0" applyNumberFormat="1" applyBorder="1" applyAlignment="1">
      <alignment horizontal="center"/>
    </xf>
    <xf numFmtId="0" fontId="2" fillId="3" borderId="3" xfId="0" applyFont="1" applyFill="1" applyBorder="1" applyAlignment="1" applyProtection="1">
      <alignment horizontal="center" vertical="center" wrapText="1"/>
      <protection hidden="1"/>
    </xf>
    <xf numFmtId="0" fontId="2" fillId="3" borderId="8" xfId="0" applyFont="1" applyFill="1" applyBorder="1" applyAlignment="1" applyProtection="1">
      <alignment horizontal="center" vertical="center" wrapText="1"/>
      <protection hidden="1"/>
    </xf>
    <xf numFmtId="2" fontId="0" fillId="0" borderId="3" xfId="0" applyNumberFormat="1" applyBorder="1" applyAlignment="1" applyProtection="1">
      <alignment horizontal="right"/>
      <protection hidden="1"/>
    </xf>
    <xf numFmtId="0" fontId="0" fillId="3" borderId="9" xfId="0" applyFill="1" applyBorder="1" applyAlignment="1" applyProtection="1">
      <alignment horizontal="center"/>
      <protection hidden="1"/>
    </xf>
    <xf numFmtId="0" fontId="0" fillId="3" borderId="15" xfId="0" applyFill="1" applyBorder="1" applyAlignment="1" applyProtection="1">
      <alignment horizontal="center"/>
      <protection hidden="1"/>
    </xf>
    <xf numFmtId="0" fontId="0" fillId="3" borderId="0" xfId="0" applyFill="1" applyAlignment="1" applyProtection="1">
      <alignment horizontal="center"/>
      <protection hidden="1"/>
    </xf>
    <xf numFmtId="0" fontId="0" fillId="3" borderId="13" xfId="0" applyFill="1" applyBorder="1" applyAlignment="1" applyProtection="1">
      <alignment horizontal="center"/>
      <protection hidden="1"/>
    </xf>
    <xf numFmtId="0" fontId="2" fillId="3" borderId="11" xfId="0" applyFont="1" applyFill="1" applyBorder="1" applyAlignment="1" applyProtection="1">
      <alignment horizontal="center" vertical="center" wrapText="1"/>
      <protection hidden="1"/>
    </xf>
    <xf numFmtId="2" fontId="0" fillId="3" borderId="1" xfId="0" applyNumberFormat="1" applyFill="1" applyBorder="1" applyAlignment="1" applyProtection="1">
      <alignment vertical="center"/>
      <protection hidden="1"/>
    </xf>
    <xf numFmtId="2" fontId="0" fillId="3" borderId="14" xfId="0" applyNumberFormat="1" applyFill="1" applyBorder="1" applyAlignment="1" applyProtection="1">
      <alignment vertical="center"/>
      <protection hidden="1"/>
    </xf>
    <xf numFmtId="0" fontId="22" fillId="2" borderId="42" xfId="0" applyFont="1" applyFill="1" applyBorder="1" applyAlignment="1" applyProtection="1">
      <alignment horizontal="center" vertical="center"/>
      <protection hidden="1"/>
    </xf>
    <xf numFmtId="0" fontId="22" fillId="2" borderId="43" xfId="0" applyFont="1" applyFill="1" applyBorder="1" applyAlignment="1">
      <alignment horizontal="center" vertical="center"/>
    </xf>
    <xf numFmtId="0" fontId="22" fillId="2" borderId="10" xfId="0" applyFont="1" applyFill="1" applyBorder="1" applyAlignment="1" applyProtection="1">
      <alignment horizontal="center" vertical="center"/>
      <protection hidden="1"/>
    </xf>
    <xf numFmtId="0" fontId="22" fillId="2" borderId="17" xfId="0" applyFont="1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center" vertical="center" wrapText="1"/>
      <protection hidden="1"/>
    </xf>
    <xf numFmtId="0" fontId="0" fillId="2" borderId="37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3" borderId="41" xfId="0" applyFill="1" applyBorder="1" applyAlignment="1" applyProtection="1">
      <alignment horizontal="center" vertical="center"/>
      <protection hidden="1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8" borderId="48" xfId="0" applyFill="1" applyBorder="1" applyAlignment="1">
      <alignment horizontal="center"/>
    </xf>
    <xf numFmtId="0" fontId="0" fillId="8" borderId="49" xfId="0" applyFill="1" applyBorder="1" applyAlignment="1">
      <alignment horizontal="center"/>
    </xf>
    <xf numFmtId="0" fontId="0" fillId="8" borderId="50" xfId="0" applyFill="1" applyBorder="1" applyAlignment="1">
      <alignment horizontal="center"/>
    </xf>
    <xf numFmtId="164" fontId="0" fillId="0" borderId="11" xfId="0" applyNumberFormat="1" applyBorder="1" applyAlignment="1" applyProtection="1">
      <alignment horizontal="right"/>
      <protection hidden="1"/>
    </xf>
    <xf numFmtId="164" fontId="0" fillId="0" borderId="1" xfId="0" applyNumberFormat="1" applyBorder="1" applyAlignment="1" applyProtection="1">
      <alignment horizontal="right"/>
      <protection hidden="1"/>
    </xf>
    <xf numFmtId="0" fontId="18" fillId="0" borderId="9" xfId="0" applyFont="1" applyBorder="1" applyAlignment="1" applyProtection="1">
      <alignment horizontal="center" vertical="center" textRotation="90" wrapText="1"/>
      <protection hidden="1"/>
    </xf>
    <xf numFmtId="0" fontId="18" fillId="0" borderId="0" xfId="0" applyFont="1" applyAlignment="1" applyProtection="1">
      <alignment horizontal="center" vertical="center" textRotation="90" wrapText="1"/>
      <protection hidden="1"/>
    </xf>
    <xf numFmtId="0" fontId="6" fillId="5" borderId="9" xfId="0" applyFont="1" applyFill="1" applyBorder="1" applyAlignment="1" applyProtection="1">
      <alignment horizontal="left"/>
      <protection locked="0"/>
    </xf>
    <xf numFmtId="0" fontId="6" fillId="5" borderId="15" xfId="0" applyFont="1" applyFill="1" applyBorder="1" applyAlignment="1" applyProtection="1">
      <alignment horizontal="left"/>
      <protection locked="0"/>
    </xf>
    <xf numFmtId="0" fontId="6" fillId="5" borderId="0" xfId="0" applyFont="1" applyFill="1" applyAlignment="1" applyProtection="1">
      <alignment horizontal="left"/>
      <protection locked="0"/>
    </xf>
    <xf numFmtId="0" fontId="6" fillId="5" borderId="13" xfId="0" applyFont="1" applyFill="1" applyBorder="1" applyAlignment="1" applyProtection="1">
      <alignment horizontal="left"/>
      <protection locked="0"/>
    </xf>
    <xf numFmtId="164" fontId="0" fillId="0" borderId="3" xfId="0" applyNumberFormat="1" applyBorder="1" applyAlignment="1" applyProtection="1">
      <alignment horizontal="right"/>
      <protection hidden="1"/>
    </xf>
    <xf numFmtId="164" fontId="0" fillId="0" borderId="0" xfId="0" applyNumberFormat="1" applyAlignment="1" applyProtection="1">
      <alignment horizontal="right"/>
      <protection hidden="1"/>
    </xf>
    <xf numFmtId="0" fontId="4" fillId="3" borderId="15" xfId="0" applyFont="1" applyFill="1" applyBorder="1" applyAlignment="1" applyProtection="1">
      <alignment horizontal="center" vertical="center" wrapText="1"/>
      <protection hidden="1"/>
    </xf>
    <xf numFmtId="0" fontId="4" fillId="3" borderId="13" xfId="0" applyFont="1" applyFill="1" applyBorder="1" applyAlignment="1" applyProtection="1">
      <alignment horizontal="center" vertical="center" wrapText="1"/>
      <protection hidden="1"/>
    </xf>
    <xf numFmtId="0" fontId="4" fillId="3" borderId="18" xfId="0" applyFont="1" applyFill="1" applyBorder="1" applyAlignment="1" applyProtection="1">
      <alignment horizontal="center" vertical="center" wrapText="1"/>
      <protection hidden="1"/>
    </xf>
    <xf numFmtId="0" fontId="6" fillId="4" borderId="24" xfId="0" applyFont="1" applyFill="1" applyBorder="1" applyAlignment="1" applyProtection="1">
      <alignment horizontal="center" vertical="center"/>
      <protection hidden="1"/>
    </xf>
    <xf numFmtId="0" fontId="6" fillId="4" borderId="22" xfId="0" applyFont="1" applyFill="1" applyBorder="1" applyAlignment="1" applyProtection="1">
      <alignment horizontal="center" vertical="center"/>
      <protection hidden="1"/>
    </xf>
    <xf numFmtId="0" fontId="6" fillId="4" borderId="25" xfId="0" applyFont="1" applyFill="1" applyBorder="1" applyAlignment="1" applyProtection="1">
      <alignment horizontal="center" vertical="center"/>
      <protection hidden="1"/>
    </xf>
    <xf numFmtId="0" fontId="6" fillId="4" borderId="24" xfId="0" quotePrefix="1" applyFont="1" applyFill="1" applyBorder="1" applyAlignment="1" applyProtection="1">
      <alignment horizontal="center" vertical="center"/>
      <protection hidden="1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4" borderId="11" xfId="0" quotePrefix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center" vertical="center" textRotation="90" wrapText="1"/>
      <protection hidden="1"/>
    </xf>
    <xf numFmtId="0" fontId="0" fillId="3" borderId="9" xfId="0" applyFill="1" applyBorder="1" applyAlignment="1">
      <alignment horizontal="center" vertical="center" textRotation="90" wrapText="1"/>
    </xf>
    <xf numFmtId="0" fontId="0" fillId="3" borderId="15" xfId="0" applyFill="1" applyBorder="1" applyAlignment="1">
      <alignment horizontal="center" vertical="center" textRotation="90" wrapText="1"/>
    </xf>
    <xf numFmtId="0" fontId="0" fillId="3" borderId="3" xfId="0" applyFill="1" applyBorder="1" applyAlignment="1">
      <alignment horizontal="center" vertical="center" textRotation="90" wrapText="1"/>
    </xf>
    <xf numFmtId="0" fontId="0" fillId="3" borderId="0" xfId="0" applyFill="1" applyAlignment="1">
      <alignment horizontal="center" vertical="center" textRotation="90" wrapText="1"/>
    </xf>
    <xf numFmtId="0" fontId="0" fillId="3" borderId="13" xfId="0" applyFill="1" applyBorder="1" applyAlignment="1">
      <alignment horizontal="center" vertical="center" textRotation="90" wrapText="1"/>
    </xf>
    <xf numFmtId="0" fontId="0" fillId="3" borderId="3" xfId="0" applyFill="1" applyBorder="1" applyAlignment="1" applyProtection="1">
      <alignment horizontal="center" vertical="center"/>
      <protection hidden="1"/>
    </xf>
    <xf numFmtId="0" fontId="0" fillId="3" borderId="13" xfId="0" applyFill="1" applyBorder="1" applyAlignment="1" applyProtection="1">
      <alignment horizontal="center" vertical="center"/>
      <protection hidden="1"/>
    </xf>
    <xf numFmtId="0" fontId="0" fillId="3" borderId="4" xfId="0" applyFill="1" applyBorder="1" applyAlignment="1" applyProtection="1">
      <alignment horizontal="center" vertical="center"/>
      <protection hidden="1"/>
    </xf>
    <xf numFmtId="0" fontId="0" fillId="3" borderId="18" xfId="0" applyFill="1" applyBorder="1" applyAlignment="1" applyProtection="1">
      <alignment horizontal="center" vertical="center"/>
      <protection hidden="1"/>
    </xf>
    <xf numFmtId="0" fontId="2" fillId="3" borderId="8" xfId="0" applyFont="1" applyFill="1" applyBorder="1" applyAlignment="1" applyProtection="1">
      <alignment horizontal="center" vertical="center" wrapText="1"/>
      <protection hidden="1"/>
    </xf>
    <xf numFmtId="0" fontId="2" fillId="3" borderId="15" xfId="0" applyFont="1" applyFill="1" applyBorder="1" applyAlignment="1" applyProtection="1">
      <alignment horizontal="center" vertical="center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hidden="1"/>
    </xf>
    <xf numFmtId="0" fontId="2" fillId="3" borderId="18" xfId="0" applyFont="1" applyFill="1" applyBorder="1" applyAlignment="1" applyProtection="1">
      <alignment horizontal="center" vertical="center" wrapText="1"/>
      <protection hidden="1"/>
    </xf>
    <xf numFmtId="0" fontId="2" fillId="3" borderId="10" xfId="0" applyFont="1" applyFill="1" applyBorder="1" applyAlignment="1" applyProtection="1">
      <alignment horizontal="center" vertical="center" wrapText="1"/>
      <protection hidden="1"/>
    </xf>
    <xf numFmtId="0" fontId="2" fillId="3" borderId="17" xfId="0" applyFont="1" applyFill="1" applyBorder="1" applyAlignment="1" applyProtection="1">
      <alignment horizontal="center" vertical="center" wrapText="1"/>
      <protection hidden="1"/>
    </xf>
    <xf numFmtId="10" fontId="0" fillId="3" borderId="2" xfId="1" applyNumberFormat="1" applyFont="1" applyFill="1" applyBorder="1" applyAlignment="1" applyProtection="1">
      <alignment horizontal="left" vertical="center"/>
      <protection hidden="1"/>
    </xf>
    <xf numFmtId="10" fontId="0" fillId="3" borderId="18" xfId="1" applyNumberFormat="1" applyFont="1" applyFill="1" applyBorder="1" applyAlignment="1" applyProtection="1">
      <alignment horizontal="left" vertical="center"/>
      <protection hidden="1"/>
    </xf>
    <xf numFmtId="0" fontId="4" fillId="3" borderId="10" xfId="0" applyFont="1" applyFill="1" applyBorder="1" applyAlignment="1" applyProtection="1">
      <alignment horizontal="center" vertical="center" textRotation="90" wrapText="1"/>
      <protection hidden="1"/>
    </xf>
    <xf numFmtId="0" fontId="4" fillId="3" borderId="7" xfId="0" applyFont="1" applyFill="1" applyBorder="1" applyAlignment="1" applyProtection="1">
      <alignment horizontal="center" vertical="center" textRotation="90" wrapText="1"/>
      <protection hidden="1"/>
    </xf>
    <xf numFmtId="0" fontId="4" fillId="3" borderId="12" xfId="0" applyFont="1" applyFill="1" applyBorder="1" applyAlignment="1" applyProtection="1">
      <alignment horizontal="center" vertical="center" textRotation="90" wrapText="1"/>
      <protection hidden="1"/>
    </xf>
    <xf numFmtId="167" fontId="2" fillId="3" borderId="3" xfId="0" applyNumberFormat="1" applyFont="1" applyFill="1" applyBorder="1" applyAlignment="1" applyProtection="1">
      <alignment horizontal="center" vertical="top" textRotation="90" wrapText="1"/>
      <protection hidden="1"/>
    </xf>
    <xf numFmtId="167" fontId="2" fillId="3" borderId="11" xfId="0" applyNumberFormat="1" applyFont="1" applyFill="1" applyBorder="1" applyAlignment="1" applyProtection="1">
      <alignment horizontal="center" vertical="top" textRotation="90" wrapText="1"/>
      <protection hidden="1"/>
    </xf>
    <xf numFmtId="167" fontId="2" fillId="3" borderId="13" xfId="0" applyNumberFormat="1" applyFont="1" applyFill="1" applyBorder="1" applyAlignment="1" applyProtection="1">
      <alignment horizontal="center" vertical="top" textRotation="90" wrapText="1"/>
      <protection hidden="1"/>
    </xf>
    <xf numFmtId="167" fontId="2" fillId="3" borderId="14" xfId="0" applyNumberFormat="1" applyFont="1" applyFill="1" applyBorder="1" applyAlignment="1" applyProtection="1">
      <alignment horizontal="center" vertical="top" textRotation="90" wrapText="1"/>
      <protection hidden="1"/>
    </xf>
    <xf numFmtId="0" fontId="2" fillId="3" borderId="7" xfId="0" applyFont="1" applyFill="1" applyBorder="1" applyAlignment="1" applyProtection="1">
      <alignment horizontal="center" vertical="center" wrapText="1"/>
      <protection hidden="1"/>
    </xf>
    <xf numFmtId="0" fontId="2" fillId="3" borderId="8" xfId="0" applyFont="1" applyFill="1" applyBorder="1" applyAlignment="1" applyProtection="1">
      <alignment horizontal="center" wrapText="1"/>
      <protection hidden="1"/>
    </xf>
    <xf numFmtId="0" fontId="2" fillId="3" borderId="15" xfId="0" applyFont="1" applyFill="1" applyBorder="1" applyAlignment="1" applyProtection="1">
      <alignment horizontal="center" wrapText="1"/>
      <protection hidden="1"/>
    </xf>
    <xf numFmtId="0" fontId="2" fillId="3" borderId="3" xfId="0" applyFont="1" applyFill="1" applyBorder="1" applyAlignment="1" applyProtection="1">
      <alignment horizontal="center" wrapText="1"/>
      <protection hidden="1"/>
    </xf>
    <xf numFmtId="0" fontId="2" fillId="3" borderId="13" xfId="0" applyFont="1" applyFill="1" applyBorder="1" applyAlignment="1" applyProtection="1">
      <alignment horizontal="center" wrapText="1"/>
      <protection hidden="1"/>
    </xf>
    <xf numFmtId="0" fontId="2" fillId="3" borderId="10" xfId="0" applyFont="1" applyFill="1" applyBorder="1" applyAlignment="1" applyProtection="1">
      <alignment horizontal="center" wrapText="1"/>
      <protection hidden="1"/>
    </xf>
    <xf numFmtId="0" fontId="2" fillId="3" borderId="7" xfId="0" applyFont="1" applyFill="1" applyBorder="1" applyAlignment="1" applyProtection="1">
      <alignment horizontal="center" wrapText="1"/>
      <protection hidden="1"/>
    </xf>
    <xf numFmtId="0" fontId="2" fillId="3" borderId="17" xfId="0" applyFont="1" applyFill="1" applyBorder="1" applyAlignment="1" applyProtection="1">
      <alignment horizontal="center" wrapText="1"/>
      <protection hidden="1"/>
    </xf>
    <xf numFmtId="0" fontId="2" fillId="3" borderId="3" xfId="0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Alignment="1" applyProtection="1">
      <alignment horizontal="center" vertical="center" wrapText="1"/>
      <protection hidden="1"/>
    </xf>
    <xf numFmtId="0" fontId="7" fillId="3" borderId="10" xfId="0" applyFont="1" applyFill="1" applyBorder="1" applyAlignment="1" applyProtection="1">
      <alignment horizontal="center" vertical="center" textRotation="90" wrapText="1"/>
      <protection hidden="1"/>
    </xf>
    <xf numFmtId="0" fontId="7" fillId="3" borderId="7" xfId="0" applyFont="1" applyFill="1" applyBorder="1" applyAlignment="1" applyProtection="1">
      <alignment horizontal="center" vertical="center" textRotation="90" wrapText="1"/>
      <protection hidden="1"/>
    </xf>
    <xf numFmtId="0" fontId="7" fillId="3" borderId="12" xfId="0" applyFont="1" applyFill="1" applyBorder="1" applyAlignment="1" applyProtection="1">
      <alignment horizontal="center" vertical="center" textRotation="90" wrapText="1"/>
      <protection hidden="1"/>
    </xf>
    <xf numFmtId="0" fontId="2" fillId="3" borderId="3" xfId="0" applyFont="1" applyFill="1" applyBorder="1" applyAlignment="1" applyProtection="1">
      <alignment horizontal="center" vertical="center" textRotation="90" wrapText="1"/>
      <protection hidden="1"/>
    </xf>
    <xf numFmtId="0" fontId="2" fillId="3" borderId="11" xfId="0" applyFont="1" applyFill="1" applyBorder="1" applyAlignment="1" applyProtection="1">
      <alignment horizontal="center" vertical="center" textRotation="90" wrapText="1"/>
      <protection hidden="1"/>
    </xf>
    <xf numFmtId="0" fontId="2" fillId="3" borderId="10" xfId="0" applyFont="1" applyFill="1" applyBorder="1" applyAlignment="1" applyProtection="1">
      <alignment horizontal="center" vertical="center" textRotation="90" wrapText="1"/>
      <protection hidden="1"/>
    </xf>
    <xf numFmtId="0" fontId="2" fillId="3" borderId="7" xfId="0" applyFont="1" applyFill="1" applyBorder="1" applyAlignment="1" applyProtection="1">
      <alignment horizontal="center" vertical="center" textRotation="90" wrapText="1"/>
      <protection hidden="1"/>
    </xf>
    <xf numFmtId="0" fontId="2" fillId="3" borderId="12" xfId="0" applyFont="1" applyFill="1" applyBorder="1" applyAlignment="1" applyProtection="1">
      <alignment horizontal="center" vertical="center" textRotation="90" wrapText="1"/>
      <protection hidden="1"/>
    </xf>
    <xf numFmtId="0" fontId="6" fillId="4" borderId="11" xfId="0" applyFont="1" applyFill="1" applyBorder="1" applyAlignment="1" applyProtection="1">
      <alignment horizontal="center" vertical="center"/>
      <protection hidden="1"/>
    </xf>
    <xf numFmtId="0" fontId="6" fillId="4" borderId="1" xfId="0" applyFont="1" applyFill="1" applyBorder="1" applyAlignment="1" applyProtection="1">
      <alignment horizontal="center" vertical="center"/>
      <protection hidden="1"/>
    </xf>
    <xf numFmtId="0" fontId="6" fillId="4" borderId="14" xfId="0" applyFont="1" applyFill="1" applyBorder="1" applyAlignment="1" applyProtection="1">
      <alignment horizontal="center" vertical="center"/>
      <protection hidden="1"/>
    </xf>
    <xf numFmtId="0" fontId="2" fillId="3" borderId="8" xfId="0" applyFont="1" applyFill="1" applyBorder="1" applyAlignment="1" applyProtection="1">
      <alignment horizontal="center" textRotation="90" wrapText="1"/>
      <protection hidden="1"/>
    </xf>
    <xf numFmtId="0" fontId="2" fillId="3" borderId="3" xfId="0" applyFont="1" applyFill="1" applyBorder="1" applyAlignment="1" applyProtection="1">
      <alignment horizontal="center" textRotation="90" wrapText="1"/>
      <protection hidden="1"/>
    </xf>
    <xf numFmtId="0" fontId="2" fillId="3" borderId="9" xfId="0" applyFont="1" applyFill="1" applyBorder="1" applyAlignment="1" applyProtection="1">
      <alignment horizontal="center" textRotation="90" wrapText="1"/>
      <protection hidden="1"/>
    </xf>
    <xf numFmtId="0" fontId="2" fillId="3" borderId="0" xfId="0" applyFont="1" applyFill="1" applyAlignment="1" applyProtection="1">
      <alignment horizontal="center" textRotation="90" wrapText="1"/>
      <protection hidden="1"/>
    </xf>
    <xf numFmtId="0" fontId="2" fillId="3" borderId="15" xfId="0" applyFont="1" applyFill="1" applyBorder="1" applyAlignment="1" applyProtection="1">
      <alignment horizontal="center" vertical="center" textRotation="90" wrapText="1"/>
      <protection hidden="1"/>
    </xf>
    <xf numFmtId="0" fontId="2" fillId="3" borderId="13" xfId="0" applyFont="1" applyFill="1" applyBorder="1" applyAlignment="1" applyProtection="1">
      <alignment horizontal="center" vertical="center" textRotation="90" wrapText="1"/>
      <protection hidden="1"/>
    </xf>
    <xf numFmtId="0" fontId="2" fillId="3" borderId="14" xfId="0" applyFont="1" applyFill="1" applyBorder="1" applyAlignment="1" applyProtection="1">
      <alignment horizontal="center" vertical="center" textRotation="90" wrapText="1"/>
      <protection hidden="1"/>
    </xf>
    <xf numFmtId="2" fontId="10" fillId="3" borderId="8" xfId="0" applyNumberFormat="1" applyFont="1" applyFill="1" applyBorder="1" applyAlignment="1" applyProtection="1">
      <alignment horizontal="center" vertical="center" textRotation="90" wrapText="1"/>
      <protection hidden="1"/>
    </xf>
    <xf numFmtId="2" fontId="10" fillId="3" borderId="3" xfId="0" applyNumberFormat="1" applyFont="1" applyFill="1" applyBorder="1" applyAlignment="1" applyProtection="1">
      <alignment horizontal="center" vertical="center" textRotation="90" wrapText="1"/>
      <protection hidden="1"/>
    </xf>
    <xf numFmtId="2" fontId="10" fillId="3" borderId="11" xfId="0" applyNumberFormat="1" applyFont="1" applyFill="1" applyBorder="1" applyAlignment="1" applyProtection="1">
      <alignment horizontal="center" vertical="center" textRotation="90" wrapText="1"/>
      <protection hidden="1"/>
    </xf>
    <xf numFmtId="0" fontId="7" fillId="3" borderId="8" xfId="0" applyFont="1" applyFill="1" applyBorder="1" applyAlignment="1" applyProtection="1">
      <alignment horizontal="center" vertical="center" textRotation="90" wrapText="1"/>
      <protection hidden="1"/>
    </xf>
    <xf numFmtId="0" fontId="7" fillId="3" borderId="3" xfId="0" applyFont="1" applyFill="1" applyBorder="1" applyAlignment="1" applyProtection="1">
      <alignment horizontal="center" vertical="center" textRotation="90" wrapText="1"/>
      <protection hidden="1"/>
    </xf>
    <xf numFmtId="0" fontId="7" fillId="3" borderId="11" xfId="0" applyFont="1" applyFill="1" applyBorder="1" applyAlignment="1" applyProtection="1">
      <alignment horizontal="center" vertical="center" textRotation="90" wrapText="1"/>
      <protection hidden="1"/>
    </xf>
    <xf numFmtId="0" fontId="2" fillId="3" borderId="9" xfId="0" applyFont="1" applyFill="1" applyBorder="1" applyAlignment="1" applyProtection="1">
      <alignment horizontal="center" vertical="center" textRotation="90" wrapText="1"/>
      <protection hidden="1"/>
    </xf>
    <xf numFmtId="0" fontId="2" fillId="3" borderId="0" xfId="0" applyFont="1" applyFill="1" applyAlignment="1" applyProtection="1">
      <alignment horizontal="center" vertical="center" textRotation="90" wrapText="1"/>
      <protection hidden="1"/>
    </xf>
    <xf numFmtId="0" fontId="2" fillId="3" borderId="1" xfId="0" applyFont="1" applyFill="1" applyBorder="1" applyAlignment="1" applyProtection="1">
      <alignment horizontal="center" vertical="center" textRotation="90" wrapText="1"/>
      <protection hidden="1"/>
    </xf>
    <xf numFmtId="0" fontId="8" fillId="3" borderId="15" xfId="0" applyFont="1" applyFill="1" applyBorder="1" applyAlignment="1" applyProtection="1">
      <alignment horizontal="center" vertical="center" textRotation="90" wrapText="1"/>
      <protection hidden="1"/>
    </xf>
    <xf numFmtId="0" fontId="8" fillId="3" borderId="13" xfId="0" applyFont="1" applyFill="1" applyBorder="1" applyAlignment="1" applyProtection="1">
      <alignment horizontal="center" vertical="center" textRotation="90" wrapText="1"/>
      <protection hidden="1"/>
    </xf>
    <xf numFmtId="0" fontId="8" fillId="3" borderId="14" xfId="0" applyFont="1" applyFill="1" applyBorder="1" applyAlignment="1" applyProtection="1">
      <alignment horizontal="center" vertical="center" textRotation="90" wrapText="1"/>
      <protection hidden="1"/>
    </xf>
    <xf numFmtId="0" fontId="6" fillId="5" borderId="0" xfId="0" applyFont="1" applyFill="1" applyAlignment="1" applyProtection="1">
      <alignment horizontal="left" vertical="top"/>
      <protection locked="0"/>
    </xf>
    <xf numFmtId="166" fontId="6" fillId="5" borderId="0" xfId="0" applyNumberFormat="1" applyFont="1" applyFill="1" applyAlignment="1" applyProtection="1">
      <alignment horizontal="right" vertical="center"/>
      <protection locked="0"/>
    </xf>
    <xf numFmtId="0" fontId="6" fillId="5" borderId="0" xfId="0" applyFont="1" applyFill="1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left" vertical="center"/>
      <protection hidden="1"/>
    </xf>
    <xf numFmtId="0" fontId="0" fillId="2" borderId="0" xfId="0" applyFill="1" applyAlignment="1" applyProtection="1">
      <alignment horizontal="right" vertical="center"/>
      <protection hidden="1"/>
    </xf>
    <xf numFmtId="0" fontId="17" fillId="2" borderId="0" xfId="2" applyFont="1" applyFill="1" applyAlignment="1" applyProtection="1">
      <alignment horizontal="left" vertical="center"/>
      <protection hidden="1"/>
    </xf>
    <xf numFmtId="0" fontId="28" fillId="0" borderId="0" xfId="0" applyFont="1" applyAlignment="1" applyProtection="1">
      <alignment horizontal="left" wrapText="1"/>
      <protection hidden="1"/>
    </xf>
    <xf numFmtId="0" fontId="29" fillId="0" borderId="0" xfId="0" applyFont="1" applyAlignment="1" applyProtection="1">
      <alignment horizontal="left" wrapText="1"/>
      <protection hidden="1"/>
    </xf>
    <xf numFmtId="0" fontId="29" fillId="0" borderId="2" xfId="0" applyFont="1" applyBorder="1" applyAlignment="1" applyProtection="1">
      <alignment horizontal="left" wrapText="1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17" fillId="2" borderId="0" xfId="0" applyFont="1" applyFill="1" applyAlignment="1" applyProtection="1">
      <alignment horizontal="left" vertical="center"/>
      <protection hidden="1"/>
    </xf>
    <xf numFmtId="0" fontId="0" fillId="2" borderId="2" xfId="0" applyFill="1" applyBorder="1" applyAlignment="1" applyProtection="1">
      <alignment horizontal="left" vertical="center"/>
      <protection hidden="1"/>
    </xf>
    <xf numFmtId="0" fontId="0" fillId="2" borderId="2" xfId="0" applyFill="1" applyBorder="1" applyAlignment="1" applyProtection="1">
      <alignment horizontal="right" vertical="center"/>
      <protection hidden="1"/>
    </xf>
    <xf numFmtId="0" fontId="17" fillId="2" borderId="2" xfId="0" applyFont="1" applyFill="1" applyBorder="1" applyAlignment="1" applyProtection="1">
      <alignment horizontal="left" vertical="center"/>
      <protection hidden="1"/>
    </xf>
    <xf numFmtId="0" fontId="2" fillId="3" borderId="26" xfId="0" applyFont="1" applyFill="1" applyBorder="1" applyAlignment="1" applyProtection="1">
      <alignment horizontal="center" vertical="center" textRotation="90" wrapText="1"/>
      <protection hidden="1"/>
    </xf>
    <xf numFmtId="0" fontId="2" fillId="3" borderId="19" xfId="0" applyFont="1" applyFill="1" applyBorder="1" applyAlignment="1" applyProtection="1">
      <alignment horizontal="center" vertical="center" textRotation="90" wrapText="1"/>
      <protection hidden="1"/>
    </xf>
    <xf numFmtId="0" fontId="2" fillId="3" borderId="20" xfId="0" applyFont="1" applyFill="1" applyBorder="1" applyAlignment="1" applyProtection="1">
      <alignment horizontal="center" vertical="center" textRotation="90" wrapText="1"/>
      <protection hidden="1"/>
    </xf>
    <xf numFmtId="0" fontId="0" fillId="2" borderId="0" xfId="0" applyFill="1" applyAlignment="1" applyProtection="1">
      <alignment horizontal="left" vertical="top"/>
      <protection hidden="1"/>
    </xf>
    <xf numFmtId="0" fontId="5" fillId="2" borderId="0" xfId="2" applyFill="1" applyAlignment="1" applyProtection="1">
      <alignment horizontal="right" vertical="top"/>
      <protection hidden="1"/>
    </xf>
  </cellXfs>
  <cellStyles count="3">
    <cellStyle name="Procent" xfId="1" builtinId="5"/>
    <cellStyle name="Standaard" xfId="0" builtinId="0"/>
    <cellStyle name="Standaard 2" xfId="2" xr:uid="{F9B5CA77-F4F6-4328-9103-6FEA0969AC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4" dropStyle="combo" dx="22" fmlaLink="$AE$1" fmlaRange="$AF$1:$AF$4" sel="3" val="0"/>
</file>

<file path=xl/ctrlProps/ctrlProp10.xml><?xml version="1.0" encoding="utf-8"?>
<formControlPr xmlns="http://schemas.microsoft.com/office/spreadsheetml/2009/9/main" objectType="Drop" dropLines="4" dropStyle="combo" dx="22" fmlaLink="$AE$1" fmlaRange="$AF$1:$AF$4" sel="4" val="0"/>
</file>

<file path=xl/ctrlProps/ctrlProp11.xml><?xml version="1.0" encoding="utf-8"?>
<formControlPr xmlns="http://schemas.microsoft.com/office/spreadsheetml/2009/9/main" objectType="Drop" dropLines="3" dropStyle="combo" dx="22" fmlaLink="$AE$5" fmlaRange="$AF$5:$AF$7" sel="2" val="0"/>
</file>

<file path=xl/ctrlProps/ctrlProp12.xml><?xml version="1.0" encoding="utf-8"?>
<formControlPr xmlns="http://schemas.microsoft.com/office/spreadsheetml/2009/9/main" objectType="Drop" dropLines="2" dropStyle="combo" dx="22" fmlaLink="$AE$8" fmlaRange="$AF$8:$AF$9" sel="1" val="0"/>
</file>

<file path=xl/ctrlProps/ctrlProp2.xml><?xml version="1.0" encoding="utf-8"?>
<formControlPr xmlns="http://schemas.microsoft.com/office/spreadsheetml/2009/9/main" objectType="Drop" dropLines="3" dropStyle="combo" dx="22" fmlaLink="$AE$5" fmlaRange="$AF$5:$AF$7" sel="2" val="0"/>
</file>

<file path=xl/ctrlProps/ctrlProp3.xml><?xml version="1.0" encoding="utf-8"?>
<formControlPr xmlns="http://schemas.microsoft.com/office/spreadsheetml/2009/9/main" objectType="Drop" dropLines="2" dropStyle="combo" dx="22" fmlaLink="$AE$8" fmlaRange="$AF$8:$AF$9" sel="2" val="0"/>
</file>

<file path=xl/ctrlProps/ctrlProp4.xml><?xml version="1.0" encoding="utf-8"?>
<formControlPr xmlns="http://schemas.microsoft.com/office/spreadsheetml/2009/9/main" objectType="Drop" dropLines="4" dropStyle="combo" dx="22" fmlaLink="$AE$1" fmlaRange="$AF$1:$AF$4" sel="1" val="0"/>
</file>

<file path=xl/ctrlProps/ctrlProp5.xml><?xml version="1.0" encoding="utf-8"?>
<formControlPr xmlns="http://schemas.microsoft.com/office/spreadsheetml/2009/9/main" objectType="Drop" dropLines="3" dropStyle="combo" dx="22" fmlaLink="$AE$5" fmlaRange="$AF$5:$AF$7" sel="2" val="0"/>
</file>

<file path=xl/ctrlProps/ctrlProp6.xml><?xml version="1.0" encoding="utf-8"?>
<formControlPr xmlns="http://schemas.microsoft.com/office/spreadsheetml/2009/9/main" objectType="Drop" dropLines="2" dropStyle="combo" dx="22" fmlaLink="$AE$8" fmlaRange="$AF$8:$AF$9" sel="2" val="0"/>
</file>

<file path=xl/ctrlProps/ctrlProp7.xml><?xml version="1.0" encoding="utf-8"?>
<formControlPr xmlns="http://schemas.microsoft.com/office/spreadsheetml/2009/9/main" objectType="Drop" dropLines="4" dropStyle="combo" dx="22" fmlaLink="$AE$1" fmlaRange="$AF$1:$AF$4" sel="3" val="0"/>
</file>

<file path=xl/ctrlProps/ctrlProp8.xml><?xml version="1.0" encoding="utf-8"?>
<formControlPr xmlns="http://schemas.microsoft.com/office/spreadsheetml/2009/9/main" objectType="Drop" dropLines="3" dropStyle="combo" dx="22" fmlaLink="$AE$5" fmlaRange="$AF$5:$AF$7" sel="2" val="0"/>
</file>

<file path=xl/ctrlProps/ctrlProp9.xml><?xml version="1.0" encoding="utf-8"?>
<formControlPr xmlns="http://schemas.microsoft.com/office/spreadsheetml/2009/9/main" objectType="Drop" dropLines="2" dropStyle="combo" dx="22" fmlaLink="$AE$8" fmlaRange="$AF$8:$AF$9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0</xdr:row>
          <xdr:rowOff>0</xdr:rowOff>
        </xdr:from>
        <xdr:to>
          <xdr:col>7</xdr:col>
          <xdr:colOff>552450</xdr:colOff>
          <xdr:row>1</xdr:row>
          <xdr:rowOff>219075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2</xdr:row>
          <xdr:rowOff>0</xdr:rowOff>
        </xdr:from>
        <xdr:to>
          <xdr:col>7</xdr:col>
          <xdr:colOff>19050</xdr:colOff>
          <xdr:row>3</xdr:row>
          <xdr:rowOff>0</xdr:rowOff>
        </xdr:to>
        <xdr:sp macro="" textlink="">
          <xdr:nvSpPr>
            <xdr:cNvPr id="9218" name="Drop Down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133350</xdr:colOff>
          <xdr:row>3</xdr:row>
          <xdr:rowOff>219075</xdr:rowOff>
        </xdr:from>
        <xdr:to>
          <xdr:col>9</xdr:col>
          <xdr:colOff>19050</xdr:colOff>
          <xdr:row>4</xdr:row>
          <xdr:rowOff>200025</xdr:rowOff>
        </xdr:to>
        <xdr:sp macro="" textlink="">
          <xdr:nvSpPr>
            <xdr:cNvPr id="9219" name="Drop Down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0</xdr:row>
          <xdr:rowOff>0</xdr:rowOff>
        </xdr:from>
        <xdr:to>
          <xdr:col>7</xdr:col>
          <xdr:colOff>552450</xdr:colOff>
          <xdr:row>1</xdr:row>
          <xdr:rowOff>219075</xdr:rowOff>
        </xdr:to>
        <xdr:sp macro="" textlink="">
          <xdr:nvSpPr>
            <xdr:cNvPr id="14337" name="Drop Dow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3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2</xdr:row>
          <xdr:rowOff>0</xdr:rowOff>
        </xdr:from>
        <xdr:to>
          <xdr:col>7</xdr:col>
          <xdr:colOff>19050</xdr:colOff>
          <xdr:row>3</xdr:row>
          <xdr:rowOff>0</xdr:rowOff>
        </xdr:to>
        <xdr:sp macro="" textlink="">
          <xdr:nvSpPr>
            <xdr:cNvPr id="14338" name="Drop Down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3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133350</xdr:colOff>
          <xdr:row>3</xdr:row>
          <xdr:rowOff>219075</xdr:rowOff>
        </xdr:from>
        <xdr:to>
          <xdr:col>9</xdr:col>
          <xdr:colOff>19050</xdr:colOff>
          <xdr:row>4</xdr:row>
          <xdr:rowOff>200025</xdr:rowOff>
        </xdr:to>
        <xdr:sp macro="" textlink="">
          <xdr:nvSpPr>
            <xdr:cNvPr id="14339" name="Drop Down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3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0</xdr:row>
          <xdr:rowOff>0</xdr:rowOff>
        </xdr:from>
        <xdr:to>
          <xdr:col>7</xdr:col>
          <xdr:colOff>552450</xdr:colOff>
          <xdr:row>1</xdr:row>
          <xdr:rowOff>219075</xdr:rowOff>
        </xdr:to>
        <xdr:sp macro="" textlink="">
          <xdr:nvSpPr>
            <xdr:cNvPr id="15361" name="Drop Down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4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2</xdr:row>
          <xdr:rowOff>0</xdr:rowOff>
        </xdr:from>
        <xdr:to>
          <xdr:col>7</xdr:col>
          <xdr:colOff>19050</xdr:colOff>
          <xdr:row>3</xdr:row>
          <xdr:rowOff>0</xdr:rowOff>
        </xdr:to>
        <xdr:sp macro="" textlink="">
          <xdr:nvSpPr>
            <xdr:cNvPr id="15362" name="Drop Down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4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133350</xdr:colOff>
          <xdr:row>3</xdr:row>
          <xdr:rowOff>219075</xdr:rowOff>
        </xdr:from>
        <xdr:to>
          <xdr:col>9</xdr:col>
          <xdr:colOff>19050</xdr:colOff>
          <xdr:row>4</xdr:row>
          <xdr:rowOff>200025</xdr:rowOff>
        </xdr:to>
        <xdr:sp macro="" textlink="">
          <xdr:nvSpPr>
            <xdr:cNvPr id="15363" name="Drop Down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4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0</xdr:row>
          <xdr:rowOff>0</xdr:rowOff>
        </xdr:from>
        <xdr:to>
          <xdr:col>7</xdr:col>
          <xdr:colOff>552450</xdr:colOff>
          <xdr:row>1</xdr:row>
          <xdr:rowOff>219075</xdr:rowOff>
        </xdr:to>
        <xdr:sp macro="" textlink="">
          <xdr:nvSpPr>
            <xdr:cNvPr id="16385" name="Drop Down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5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2</xdr:row>
          <xdr:rowOff>0</xdr:rowOff>
        </xdr:from>
        <xdr:to>
          <xdr:col>7</xdr:col>
          <xdr:colOff>19050</xdr:colOff>
          <xdr:row>3</xdr:row>
          <xdr:rowOff>0</xdr:rowOff>
        </xdr:to>
        <xdr:sp macro="" textlink="">
          <xdr:nvSpPr>
            <xdr:cNvPr id="16386" name="Drop Down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5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133350</xdr:colOff>
          <xdr:row>3</xdr:row>
          <xdr:rowOff>219075</xdr:rowOff>
        </xdr:from>
        <xdr:to>
          <xdr:col>9</xdr:col>
          <xdr:colOff>19050</xdr:colOff>
          <xdr:row>4</xdr:row>
          <xdr:rowOff>200025</xdr:rowOff>
        </xdr:to>
        <xdr:sp macro="" textlink="">
          <xdr:nvSpPr>
            <xdr:cNvPr id="16387" name="Drop Down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5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68A91-7556-401C-ADDD-99F481F56EB5}">
  <dimension ref="A1:K37"/>
  <sheetViews>
    <sheetView zoomScale="85" zoomScaleNormal="85" workbookViewId="0">
      <selection activeCell="K19" sqref="K19"/>
    </sheetView>
  </sheetViews>
  <sheetFormatPr defaultColWidth="8.7109375" defaultRowHeight="15" x14ac:dyDescent="0.25"/>
  <cols>
    <col min="1" max="1" width="26.5703125" style="23" customWidth="1"/>
    <col min="2" max="2" width="34" style="23" bestFit="1" customWidth="1"/>
    <col min="3" max="3" width="13.28515625" style="23" customWidth="1"/>
    <col min="4" max="8" width="11.7109375" style="23" customWidth="1"/>
    <col min="9" max="10" width="8.7109375" style="23"/>
    <col min="11" max="11" width="11.85546875" style="23" bestFit="1" customWidth="1"/>
    <col min="12" max="12" width="14.140625" style="23" bestFit="1" customWidth="1"/>
    <col min="13" max="16384" width="8.7109375" style="23"/>
  </cols>
  <sheetData>
    <row r="1" spans="1:11" x14ac:dyDescent="0.25">
      <c r="A1" s="74" t="s">
        <v>88</v>
      </c>
      <c r="B1" s="74"/>
      <c r="C1" s="76"/>
      <c r="D1" s="76"/>
      <c r="E1" s="76"/>
      <c r="F1" s="76"/>
      <c r="G1" s="76"/>
      <c r="H1" s="76"/>
      <c r="I1" s="76"/>
      <c r="J1" s="76"/>
      <c r="K1" s="76"/>
    </row>
    <row r="2" spans="1:11" x14ac:dyDescent="0.25">
      <c r="A2" s="74" t="s">
        <v>89</v>
      </c>
      <c r="B2" s="75" t="s">
        <v>85</v>
      </c>
      <c r="C2" s="76"/>
      <c r="D2" s="76"/>
      <c r="E2" s="76"/>
      <c r="F2" s="76"/>
      <c r="G2" s="76"/>
      <c r="H2" s="76"/>
      <c r="I2" s="76"/>
      <c r="J2" s="76"/>
      <c r="K2" s="76"/>
    </row>
    <row r="3" spans="1:11" x14ac:dyDescent="0.25">
      <c r="A3" s="74" t="s">
        <v>90</v>
      </c>
      <c r="B3" s="75" t="s">
        <v>129</v>
      </c>
      <c r="C3" s="76"/>
      <c r="D3" s="76"/>
      <c r="E3" s="76"/>
      <c r="F3" s="76"/>
      <c r="G3" s="76"/>
      <c r="H3" s="76"/>
      <c r="I3" s="76"/>
      <c r="J3" s="76"/>
      <c r="K3" s="76"/>
    </row>
    <row r="4" spans="1:11" x14ac:dyDescent="0.25">
      <c r="A4" s="74" t="s">
        <v>91</v>
      </c>
      <c r="B4" s="86"/>
      <c r="C4" s="76"/>
      <c r="D4" s="76"/>
      <c r="E4" s="76"/>
      <c r="F4" s="76"/>
      <c r="G4" s="76"/>
      <c r="H4" s="76"/>
      <c r="I4" s="76"/>
      <c r="J4" s="76"/>
      <c r="K4" s="76"/>
    </row>
    <row r="5" spans="1:11" x14ac:dyDescent="0.25">
      <c r="A5" s="74" t="s">
        <v>92</v>
      </c>
      <c r="B5" s="75"/>
      <c r="C5" s="76"/>
      <c r="D5" s="76"/>
      <c r="E5" s="76"/>
      <c r="F5" s="76"/>
      <c r="G5" s="76"/>
      <c r="H5" s="76"/>
      <c r="I5" s="76"/>
      <c r="J5" s="76"/>
      <c r="K5" s="76"/>
    </row>
    <row r="6" spans="1:11" x14ac:dyDescent="0.25">
      <c r="A6" s="74" t="s">
        <v>93</v>
      </c>
      <c r="B6" s="74"/>
      <c r="C6" s="76"/>
      <c r="D6" s="76"/>
      <c r="E6" s="76"/>
      <c r="F6" s="76"/>
      <c r="G6" s="76"/>
      <c r="H6" s="76"/>
      <c r="I6" s="76"/>
      <c r="J6" s="76"/>
      <c r="K6" s="76"/>
    </row>
    <row r="7" spans="1:11" ht="15.75" thickBot="1" x14ac:dyDescent="0.3">
      <c r="A7" s="74" t="s">
        <v>94</v>
      </c>
      <c r="B7" s="74"/>
      <c r="C7" s="76"/>
      <c r="D7" s="76"/>
      <c r="E7" s="76"/>
      <c r="F7" s="76"/>
      <c r="G7" s="76"/>
      <c r="H7" s="76"/>
      <c r="I7" s="76"/>
      <c r="J7" s="76"/>
      <c r="K7" s="76"/>
    </row>
    <row r="8" spans="1:11" x14ac:dyDescent="0.25">
      <c r="A8" s="76"/>
      <c r="B8" s="76"/>
      <c r="C8" s="127" t="s">
        <v>86</v>
      </c>
      <c r="D8" s="130" t="s">
        <v>87</v>
      </c>
      <c r="E8" s="131"/>
      <c r="F8" s="131"/>
      <c r="G8" s="132"/>
      <c r="H8" s="76"/>
      <c r="I8" s="76"/>
      <c r="J8" s="76"/>
      <c r="K8" s="76"/>
    </row>
    <row r="9" spans="1:11" x14ac:dyDescent="0.25">
      <c r="A9" s="76"/>
      <c r="B9" s="76"/>
      <c r="C9" s="128"/>
      <c r="D9" s="123" t="s">
        <v>82</v>
      </c>
      <c r="E9" s="125" t="s">
        <v>81</v>
      </c>
      <c r="F9" s="57" t="s">
        <v>79</v>
      </c>
      <c r="G9" s="63" t="s">
        <v>80</v>
      </c>
      <c r="H9" s="76"/>
      <c r="I9" s="76"/>
      <c r="J9" s="76"/>
      <c r="K9" s="76"/>
    </row>
    <row r="10" spans="1:11" ht="14.25" customHeight="1" thickBot="1" x14ac:dyDescent="0.3">
      <c r="A10" s="76"/>
      <c r="B10" s="76"/>
      <c r="C10" s="129"/>
      <c r="D10" s="124"/>
      <c r="E10" s="126"/>
      <c r="F10" s="58" t="s">
        <v>95</v>
      </c>
      <c r="G10" s="64" t="s">
        <v>78</v>
      </c>
      <c r="H10" s="76"/>
      <c r="I10" s="76"/>
      <c r="J10" s="76"/>
      <c r="K10" s="76"/>
    </row>
    <row r="11" spans="1:11" x14ac:dyDescent="0.25">
      <c r="A11" s="76"/>
      <c r="B11" s="76"/>
      <c r="C11" s="77">
        <v>20</v>
      </c>
      <c r="D11" s="87"/>
      <c r="E11" s="60"/>
      <c r="F11" s="78"/>
      <c r="G11" s="79"/>
      <c r="H11" s="76"/>
      <c r="I11" s="76"/>
      <c r="J11" s="76"/>
      <c r="K11" s="76"/>
    </row>
    <row r="12" spans="1:11" x14ac:dyDescent="0.25">
      <c r="A12" s="76"/>
      <c r="B12" s="76"/>
      <c r="C12" s="80">
        <v>30</v>
      </c>
      <c r="D12" s="88"/>
      <c r="E12" s="61"/>
      <c r="F12" s="61"/>
      <c r="G12" s="81"/>
      <c r="H12" s="76"/>
      <c r="I12" s="76"/>
      <c r="J12" s="76"/>
      <c r="K12" s="76"/>
    </row>
    <row r="13" spans="1:11" ht="13.5" customHeight="1" x14ac:dyDescent="0.25">
      <c r="A13" s="76"/>
      <c r="B13" s="76"/>
      <c r="C13" s="80">
        <v>40</v>
      </c>
      <c r="D13" s="88"/>
      <c r="E13" s="61"/>
      <c r="F13" s="61"/>
      <c r="G13" s="81"/>
      <c r="H13" s="76"/>
      <c r="I13" s="76"/>
      <c r="J13" s="76"/>
      <c r="K13" s="76"/>
    </row>
    <row r="14" spans="1:11" ht="13.5" customHeight="1" x14ac:dyDescent="0.25">
      <c r="A14" s="76"/>
      <c r="B14" s="76"/>
      <c r="C14" s="80">
        <v>50</v>
      </c>
      <c r="D14" s="88"/>
      <c r="E14" s="61"/>
      <c r="F14" s="61"/>
      <c r="G14" s="81"/>
      <c r="H14" s="76"/>
      <c r="I14" s="76"/>
      <c r="J14" s="76"/>
      <c r="K14" s="76"/>
    </row>
    <row r="15" spans="1:11" ht="13.5" customHeight="1" x14ac:dyDescent="0.25">
      <c r="A15" s="76"/>
      <c r="B15" s="76"/>
      <c r="C15" s="80">
        <v>60</v>
      </c>
      <c r="D15" s="88"/>
      <c r="E15" s="61"/>
      <c r="F15" s="61"/>
      <c r="G15" s="81"/>
      <c r="H15" s="76"/>
      <c r="I15" s="76"/>
      <c r="J15" s="76"/>
      <c r="K15" s="76"/>
    </row>
    <row r="16" spans="1:11" ht="13.5" customHeight="1" x14ac:dyDescent="0.25">
      <c r="A16" s="76"/>
      <c r="B16" s="76"/>
      <c r="C16" s="80">
        <v>70</v>
      </c>
      <c r="D16" s="88"/>
      <c r="E16" s="61"/>
      <c r="F16" s="61"/>
      <c r="G16" s="81"/>
      <c r="H16" s="76"/>
      <c r="I16" s="76"/>
      <c r="J16" s="76"/>
      <c r="K16" s="76"/>
    </row>
    <row r="17" spans="1:11" ht="13.5" customHeight="1" x14ac:dyDescent="0.25">
      <c r="A17" s="76"/>
      <c r="B17" s="76"/>
      <c r="C17" s="80">
        <v>80</v>
      </c>
      <c r="D17" s="88"/>
      <c r="E17" s="61"/>
      <c r="F17" s="61"/>
      <c r="G17" s="73"/>
      <c r="H17" s="76"/>
      <c r="I17" s="76"/>
      <c r="J17" s="76"/>
      <c r="K17" s="76"/>
    </row>
    <row r="18" spans="1:11" ht="13.5" customHeight="1" x14ac:dyDescent="0.25">
      <c r="A18" s="76"/>
      <c r="B18" s="76"/>
      <c r="C18" s="80">
        <v>90</v>
      </c>
      <c r="D18" s="88"/>
      <c r="E18" s="61"/>
      <c r="F18" s="61"/>
      <c r="G18" s="73"/>
      <c r="H18" s="76"/>
      <c r="I18" s="76"/>
      <c r="J18" s="76"/>
      <c r="K18" s="76"/>
    </row>
    <row r="19" spans="1:11" ht="13.5" customHeight="1" x14ac:dyDescent="0.25">
      <c r="A19" s="76"/>
      <c r="B19" s="76"/>
      <c r="C19" s="80">
        <v>100</v>
      </c>
      <c r="D19" s="88"/>
      <c r="E19" s="61"/>
      <c r="F19" s="61"/>
      <c r="G19" s="73"/>
      <c r="H19" s="76"/>
      <c r="I19" s="76"/>
      <c r="J19" s="76"/>
      <c r="K19" s="76"/>
    </row>
    <row r="20" spans="1:11" ht="13.5" customHeight="1" x14ac:dyDescent="0.25">
      <c r="A20" s="76"/>
      <c r="B20" s="76"/>
      <c r="C20" s="80">
        <v>110</v>
      </c>
      <c r="D20" s="88"/>
      <c r="E20" s="61"/>
      <c r="F20" s="61"/>
      <c r="G20" s="73"/>
      <c r="H20" s="76"/>
      <c r="I20" s="76"/>
      <c r="J20" s="76"/>
      <c r="K20" s="76"/>
    </row>
    <row r="21" spans="1:11" ht="13.5" customHeight="1" x14ac:dyDescent="0.25">
      <c r="A21" s="76"/>
      <c r="B21" s="76"/>
      <c r="C21" s="80">
        <v>120</v>
      </c>
      <c r="D21" s="88"/>
      <c r="E21" s="61"/>
      <c r="F21" s="61"/>
      <c r="G21" s="73"/>
      <c r="H21" s="76"/>
      <c r="I21" s="76"/>
      <c r="J21" s="76"/>
      <c r="K21" s="76"/>
    </row>
    <row r="22" spans="1:11" ht="13.5" customHeight="1" x14ac:dyDescent="0.25">
      <c r="A22" s="76"/>
      <c r="B22" s="76"/>
      <c r="C22" s="80">
        <v>130</v>
      </c>
      <c r="D22" s="88"/>
      <c r="E22" s="61"/>
      <c r="F22" s="61"/>
      <c r="G22" s="81"/>
      <c r="H22" s="76"/>
      <c r="I22" s="76"/>
      <c r="J22" s="76"/>
      <c r="K22" s="76"/>
    </row>
    <row r="23" spans="1:11" ht="13.5" customHeight="1" x14ac:dyDescent="0.25">
      <c r="A23" s="76"/>
      <c r="B23" s="76"/>
      <c r="C23" s="80">
        <v>140</v>
      </c>
      <c r="D23" s="88"/>
      <c r="E23" s="61"/>
      <c r="F23" s="61"/>
      <c r="G23" s="81"/>
      <c r="H23" s="76"/>
      <c r="I23" s="76"/>
      <c r="J23" s="76"/>
      <c r="K23" s="76"/>
    </row>
    <row r="24" spans="1:11" ht="13.5" customHeight="1" x14ac:dyDescent="0.25">
      <c r="A24" s="76"/>
      <c r="B24" s="76"/>
      <c r="C24" s="80">
        <v>150</v>
      </c>
      <c r="D24" s="88"/>
      <c r="E24" s="61"/>
      <c r="F24" s="61"/>
      <c r="G24" s="81"/>
      <c r="H24" s="76"/>
      <c r="I24" s="76"/>
      <c r="J24" s="76"/>
      <c r="K24" s="76"/>
    </row>
    <row r="25" spans="1:11" ht="13.5" customHeight="1" x14ac:dyDescent="0.25">
      <c r="A25" s="76"/>
      <c r="B25" s="76"/>
      <c r="C25" s="80">
        <v>160</v>
      </c>
      <c r="D25" s="88"/>
      <c r="E25" s="61"/>
      <c r="F25" s="61"/>
      <c r="G25" s="81"/>
      <c r="H25" s="76"/>
      <c r="I25" s="76"/>
      <c r="J25" s="76"/>
      <c r="K25" s="76"/>
    </row>
    <row r="26" spans="1:11" ht="13.5" customHeight="1" x14ac:dyDescent="0.25">
      <c r="A26" s="76"/>
      <c r="B26" s="76"/>
      <c r="C26" s="80">
        <v>170</v>
      </c>
      <c r="D26" s="88"/>
      <c r="E26" s="61"/>
      <c r="F26" s="61"/>
      <c r="G26" s="81"/>
      <c r="H26" s="76"/>
      <c r="I26" s="76"/>
      <c r="J26" s="76"/>
      <c r="K26" s="76"/>
    </row>
    <row r="27" spans="1:11" ht="13.5" customHeight="1" x14ac:dyDescent="0.25">
      <c r="A27" s="76"/>
      <c r="B27" s="76"/>
      <c r="C27" s="80">
        <v>180</v>
      </c>
      <c r="D27" s="88"/>
      <c r="E27" s="61"/>
      <c r="F27" s="61"/>
      <c r="G27" s="81"/>
      <c r="H27" s="76"/>
      <c r="I27" s="76"/>
      <c r="J27" s="76"/>
      <c r="K27" s="76"/>
    </row>
    <row r="28" spans="1:11" ht="13.5" customHeight="1" x14ac:dyDescent="0.25">
      <c r="A28" s="76"/>
      <c r="B28" s="76"/>
      <c r="C28" s="80">
        <v>190</v>
      </c>
      <c r="D28" s="88"/>
      <c r="E28" s="61"/>
      <c r="F28" s="61"/>
      <c r="G28" s="81"/>
      <c r="H28" s="76"/>
      <c r="I28" s="76"/>
      <c r="J28" s="76"/>
      <c r="K28" s="76"/>
    </row>
    <row r="29" spans="1:11" ht="13.5" customHeight="1" x14ac:dyDescent="0.25">
      <c r="A29" s="76"/>
      <c r="B29" s="76"/>
      <c r="C29" s="80">
        <v>200</v>
      </c>
      <c r="D29" s="88"/>
      <c r="E29" s="61"/>
      <c r="F29" s="61"/>
      <c r="G29" s="81"/>
      <c r="H29" s="76"/>
      <c r="I29" s="76"/>
      <c r="J29" s="76"/>
      <c r="K29" s="76"/>
    </row>
    <row r="30" spans="1:11" ht="13.5" customHeight="1" x14ac:dyDescent="0.25">
      <c r="A30" s="76"/>
      <c r="B30" s="76"/>
      <c r="C30" s="80">
        <v>210</v>
      </c>
      <c r="D30" s="88"/>
      <c r="E30" s="61"/>
      <c r="F30" s="61"/>
      <c r="G30" s="81"/>
      <c r="H30" s="76"/>
      <c r="I30" s="76"/>
      <c r="J30" s="76"/>
      <c r="K30" s="76"/>
    </row>
    <row r="31" spans="1:11" ht="13.5" customHeight="1" thickBot="1" x14ac:dyDescent="0.3">
      <c r="A31" s="76"/>
      <c r="B31" s="76"/>
      <c r="C31" s="82">
        <v>220</v>
      </c>
      <c r="D31" s="89"/>
      <c r="E31" s="62"/>
      <c r="F31" s="62"/>
      <c r="G31" s="83"/>
      <c r="H31" s="76"/>
      <c r="I31" s="76"/>
      <c r="J31" s="76"/>
      <c r="K31" s="76"/>
    </row>
    <row r="32" spans="1:11" ht="13.5" customHeight="1" x14ac:dyDescent="0.25">
      <c r="A32" s="84"/>
      <c r="B32" s="76"/>
      <c r="C32" s="76"/>
      <c r="D32" s="76"/>
      <c r="E32" s="76"/>
      <c r="F32" s="76"/>
      <c r="G32" s="76"/>
      <c r="H32" s="76"/>
      <c r="I32" s="76"/>
      <c r="J32" s="76"/>
      <c r="K32" s="76"/>
    </row>
    <row r="33" spans="1:11" ht="13.5" customHeight="1" x14ac:dyDescent="0.25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76"/>
    </row>
    <row r="34" spans="1:11" ht="13.5" customHeight="1" x14ac:dyDescent="0.25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</row>
    <row r="35" spans="1:11" ht="13.5" customHeight="1" x14ac:dyDescent="0.25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</row>
    <row r="36" spans="1:11" ht="13.5" customHeight="1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</row>
    <row r="37" spans="1:11" ht="13.5" customHeight="1" x14ac:dyDescent="0.25"/>
  </sheetData>
  <sheetProtection selectLockedCells="1"/>
  <mergeCells count="4">
    <mergeCell ref="D9:D10"/>
    <mergeCell ref="E9:E10"/>
    <mergeCell ref="C8:C10"/>
    <mergeCell ref="D8:G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4792B-D8F3-4CF3-977C-CE938DBA2B71}">
  <dimension ref="A1:G14"/>
  <sheetViews>
    <sheetView workbookViewId="0">
      <selection activeCell="I6" sqref="I6"/>
    </sheetView>
  </sheetViews>
  <sheetFormatPr defaultRowHeight="15" x14ac:dyDescent="0.25"/>
  <cols>
    <col min="1" max="1" width="13" customWidth="1"/>
    <col min="2" max="2" width="17.7109375" customWidth="1"/>
    <col min="3" max="3" width="37" customWidth="1"/>
    <col min="4" max="4" width="2.85546875" customWidth="1"/>
    <col min="5" max="5" width="13.28515625" bestFit="1" customWidth="1"/>
  </cols>
  <sheetData>
    <row r="1" spans="1:7" ht="28.5" customHeight="1" x14ac:dyDescent="0.25">
      <c r="A1" s="93" t="s">
        <v>128</v>
      </c>
    </row>
    <row r="2" spans="1:7" x14ac:dyDescent="0.25">
      <c r="A2" s="133" t="s">
        <v>113</v>
      </c>
      <c r="B2" s="134"/>
      <c r="C2" s="135"/>
      <c r="D2" t="s">
        <v>103</v>
      </c>
    </row>
    <row r="3" spans="1:7" x14ac:dyDescent="0.25">
      <c r="A3" s="94" t="s">
        <v>104</v>
      </c>
      <c r="B3" s="95" t="s">
        <v>114</v>
      </c>
      <c r="C3" s="96" t="s">
        <v>105</v>
      </c>
    </row>
    <row r="4" spans="1:7" x14ac:dyDescent="0.25">
      <c r="A4" s="97">
        <v>1</v>
      </c>
      <c r="B4" s="97"/>
      <c r="C4" s="98">
        <v>0</v>
      </c>
    </row>
    <row r="5" spans="1:7" x14ac:dyDescent="0.25">
      <c r="A5" s="97">
        <v>2</v>
      </c>
      <c r="B5" s="97"/>
      <c r="C5" s="98">
        <v>0</v>
      </c>
    </row>
    <row r="6" spans="1:7" x14ac:dyDescent="0.25">
      <c r="A6" s="97">
        <v>3</v>
      </c>
      <c r="B6" s="97"/>
      <c r="C6" s="98">
        <v>0</v>
      </c>
    </row>
    <row r="7" spans="1:7" x14ac:dyDescent="0.25">
      <c r="A7" s="97">
        <v>4</v>
      </c>
      <c r="B7" s="97"/>
      <c r="C7" s="98">
        <v>0</v>
      </c>
    </row>
    <row r="8" spans="1:7" ht="15.75" thickBot="1" x14ac:dyDescent="0.3">
      <c r="A8" s="97">
        <v>5</v>
      </c>
      <c r="B8" s="97"/>
      <c r="C8" s="98">
        <v>0</v>
      </c>
    </row>
    <row r="9" spans="1:7" ht="15.75" thickTop="1" x14ac:dyDescent="0.25">
      <c r="A9" s="97">
        <v>6</v>
      </c>
      <c r="B9" s="97"/>
      <c r="C9" s="98">
        <v>0</v>
      </c>
      <c r="E9" s="99" t="s">
        <v>106</v>
      </c>
      <c r="F9" s="100">
        <f>C14</f>
        <v>0</v>
      </c>
    </row>
    <row r="10" spans="1:7" x14ac:dyDescent="0.25">
      <c r="A10" s="97">
        <v>7</v>
      </c>
      <c r="B10" s="97"/>
      <c r="C10" s="98">
        <v>0</v>
      </c>
      <c r="E10" s="101" t="s">
        <v>107</v>
      </c>
      <c r="F10" s="102">
        <f>COUNT(C4:C13)</f>
        <v>10</v>
      </c>
    </row>
    <row r="11" spans="1:7" x14ac:dyDescent="0.25">
      <c r="A11" s="97">
        <v>8</v>
      </c>
      <c r="B11" s="97"/>
      <c r="C11" s="98">
        <v>0</v>
      </c>
      <c r="E11" s="101" t="s">
        <v>108</v>
      </c>
      <c r="F11" s="102">
        <v>2.0699999999999998</v>
      </c>
    </row>
    <row r="12" spans="1:7" x14ac:dyDescent="0.25">
      <c r="A12" s="97">
        <v>9</v>
      </c>
      <c r="B12" s="97"/>
      <c r="C12" s="98">
        <v>0</v>
      </c>
      <c r="E12" s="101" t="s">
        <v>109</v>
      </c>
      <c r="F12" s="103">
        <f>STDEV(C4:C13)</f>
        <v>0</v>
      </c>
    </row>
    <row r="13" spans="1:7" ht="15.75" thickBot="1" x14ac:dyDescent="0.3">
      <c r="A13" s="97">
        <v>10</v>
      </c>
      <c r="B13" s="106"/>
      <c r="C13" s="107">
        <v>0</v>
      </c>
      <c r="E13" s="104" t="s">
        <v>110</v>
      </c>
      <c r="F13" s="105">
        <f>(F9)+(F11*F12)</f>
        <v>0</v>
      </c>
      <c r="G13" t="s">
        <v>116</v>
      </c>
    </row>
    <row r="14" spans="1:7" ht="16.5" thickTop="1" thickBot="1" x14ac:dyDescent="0.3">
      <c r="A14" s="110"/>
      <c r="B14" s="111" t="s">
        <v>112</v>
      </c>
      <c r="C14" s="112">
        <f>SUM(C4:C13)/10</f>
        <v>0</v>
      </c>
      <c r="D14" s="110" t="s">
        <v>115</v>
      </c>
      <c r="E14" s="108" t="s">
        <v>111</v>
      </c>
      <c r="F14" s="109"/>
      <c r="G14" t="s">
        <v>126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0669D-825E-419D-8040-F42479B4D2E8}">
  <dimension ref="A1:AP38"/>
  <sheetViews>
    <sheetView tabSelected="1" zoomScaleNormal="100" workbookViewId="0">
      <selection activeCell="L5" sqref="L5"/>
    </sheetView>
  </sheetViews>
  <sheetFormatPr defaultColWidth="8.7109375" defaultRowHeight="15" x14ac:dyDescent="0.25"/>
  <cols>
    <col min="1" max="1" width="4.5703125" style="23" customWidth="1"/>
    <col min="2" max="2" width="4.140625" style="23" customWidth="1"/>
    <col min="3" max="3" width="9.140625" style="23" customWidth="1"/>
    <col min="4" max="4" width="4.42578125" style="23" customWidth="1"/>
    <col min="5" max="5" width="7.85546875" style="23" customWidth="1"/>
    <col min="6" max="6" width="4.140625" style="23" customWidth="1"/>
    <col min="7" max="7" width="4.42578125" style="23" customWidth="1"/>
    <col min="8" max="8" width="8.28515625" style="23" bestFit="1" customWidth="1"/>
    <col min="9" max="9" width="8.7109375" style="23"/>
    <col min="10" max="10" width="4.140625" style="23" customWidth="1"/>
    <col min="11" max="11" width="8.42578125" style="23" customWidth="1"/>
    <col min="12" max="12" width="7.7109375" style="23" customWidth="1"/>
    <col min="13" max="13" width="9.140625" style="23" customWidth="1"/>
    <col min="14" max="14" width="3.85546875" style="23" customWidth="1"/>
    <col min="15" max="15" width="7.140625" style="23" customWidth="1"/>
    <col min="16" max="16" width="4.5703125" style="23" customWidth="1"/>
    <col min="17" max="17" width="8.140625" style="23" customWidth="1"/>
    <col min="18" max="18" width="8.7109375" style="23"/>
    <col min="19" max="21" width="7" style="23" customWidth="1"/>
    <col min="22" max="22" width="4.140625" style="23" customWidth="1"/>
    <col min="23" max="23" width="9.28515625" style="23" customWidth="1"/>
    <col min="24" max="24" width="8.28515625" style="23" customWidth="1"/>
    <col min="25" max="26" width="7.140625" style="23" customWidth="1"/>
    <col min="27" max="27" width="5.42578125" style="23" customWidth="1"/>
    <col min="28" max="28" width="5.85546875" style="23" customWidth="1"/>
    <col min="29" max="29" width="6.28515625" style="23" customWidth="1"/>
    <col min="30" max="30" width="7.28515625" style="23" customWidth="1"/>
    <col min="31" max="31" width="8.7109375" style="23" customWidth="1"/>
    <col min="32" max="32" width="31.5703125" style="23" customWidth="1"/>
    <col min="33" max="36" width="8.7109375" style="23" customWidth="1"/>
    <col min="37" max="16384" width="8.7109375" style="23"/>
  </cols>
  <sheetData>
    <row r="1" spans="1:42" s="21" customFormat="1" ht="17.45" customHeight="1" x14ac:dyDescent="0.25">
      <c r="A1" s="226" t="s">
        <v>72</v>
      </c>
      <c r="B1" s="226"/>
      <c r="C1" s="226"/>
      <c r="D1" s="226"/>
      <c r="E1" s="226"/>
      <c r="F1" s="226"/>
      <c r="G1" s="226"/>
      <c r="H1" s="20"/>
      <c r="I1" s="240" t="s">
        <v>127</v>
      </c>
      <c r="J1" s="240"/>
      <c r="K1" s="240"/>
      <c r="L1" s="240"/>
      <c r="M1" s="240"/>
      <c r="N1" s="240"/>
      <c r="O1" s="240"/>
      <c r="P1" s="240"/>
      <c r="Q1" s="241" t="s">
        <v>101</v>
      </c>
      <c r="R1" s="241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17">
        <v>3</v>
      </c>
      <c r="AF1" s="17" t="s">
        <v>69</v>
      </c>
      <c r="AG1" s="21">
        <v>1</v>
      </c>
      <c r="AH1" s="22">
        <v>0.17</v>
      </c>
      <c r="AI1" s="22">
        <v>0</v>
      </c>
      <c r="AJ1" s="22">
        <v>0.15</v>
      </c>
      <c r="AL1" s="55"/>
      <c r="AO1" s="51"/>
      <c r="AP1" s="51"/>
    </row>
    <row r="2" spans="1:42" s="21" customFormat="1" ht="40.5" customHeight="1" x14ac:dyDescent="0.25">
      <c r="A2" s="43" t="s">
        <v>74</v>
      </c>
      <c r="B2" s="20"/>
      <c r="C2" s="20"/>
      <c r="D2" s="20"/>
      <c r="E2" s="20"/>
      <c r="F2" s="224">
        <v>2.7E-2</v>
      </c>
      <c r="G2" s="225"/>
      <c r="H2" s="91" t="s">
        <v>100</v>
      </c>
      <c r="I2" s="240"/>
      <c r="J2" s="240"/>
      <c r="K2" s="240"/>
      <c r="L2" s="240"/>
      <c r="M2" s="240"/>
      <c r="N2" s="240"/>
      <c r="O2" s="240"/>
      <c r="P2" s="240"/>
      <c r="Q2" s="241"/>
      <c r="R2" s="241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F2" s="17" t="s">
        <v>70</v>
      </c>
      <c r="AG2" s="21">
        <f>+AG1+1</f>
        <v>2</v>
      </c>
      <c r="AH2" s="22">
        <v>0.17</v>
      </c>
      <c r="AI2" s="22">
        <v>0.17</v>
      </c>
      <c r="AJ2" s="22">
        <v>0.15</v>
      </c>
      <c r="AL2" s="67" t="s">
        <v>84</v>
      </c>
      <c r="AM2" s="49"/>
      <c r="AN2" s="70"/>
      <c r="AO2" s="68" t="s">
        <v>76</v>
      </c>
      <c r="AP2" s="68" t="s">
        <v>77</v>
      </c>
    </row>
    <row r="3" spans="1:42" s="21" customFormat="1" ht="17.45" customHeight="1" x14ac:dyDescent="0.25">
      <c r="A3" s="226" t="s">
        <v>73</v>
      </c>
      <c r="B3" s="226"/>
      <c r="C3" s="226"/>
      <c r="D3" s="226"/>
      <c r="E3" s="226"/>
      <c r="F3" s="226"/>
      <c r="G3" s="226"/>
      <c r="H3" s="227"/>
      <c r="I3" s="227"/>
      <c r="J3" s="227"/>
      <c r="K3" s="227"/>
      <c r="L3" s="42">
        <v>5</v>
      </c>
      <c r="M3" s="228" t="str">
        <f>+IF(AE5=1,IF(ISBLANK(L3),"","geen waarde invullen"),IF(AND(AE5&gt;1,L3=0),"aantal bevestigers invullen","stuks/m²"))</f>
        <v>stuks/m²</v>
      </c>
      <c r="N3" s="228"/>
      <c r="O3" s="228"/>
      <c r="P3" s="228"/>
      <c r="Q3" s="228"/>
      <c r="R3" s="228"/>
      <c r="S3" s="229" t="s">
        <v>123</v>
      </c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F3" s="17" t="s">
        <v>46</v>
      </c>
      <c r="AG3" s="21">
        <f>+AG2+1</f>
        <v>3</v>
      </c>
      <c r="AH3" s="22">
        <v>0.13</v>
      </c>
      <c r="AI3" s="22">
        <v>0.04</v>
      </c>
      <c r="AJ3" s="22">
        <v>0.36</v>
      </c>
      <c r="AL3" s="59" t="s">
        <v>99</v>
      </c>
      <c r="AM3" s="59" t="s">
        <v>96</v>
      </c>
      <c r="AN3" s="71">
        <v>2.7E-2</v>
      </c>
      <c r="AO3" s="50"/>
      <c r="AP3" s="50"/>
    </row>
    <row r="4" spans="1:42" s="21" customFormat="1" ht="17.45" customHeight="1" x14ac:dyDescent="0.25">
      <c r="A4" s="232"/>
      <c r="B4" s="232"/>
      <c r="C4" s="232"/>
      <c r="D4" s="232"/>
      <c r="E4" s="232"/>
      <c r="F4" s="232"/>
      <c r="G4" s="232"/>
      <c r="H4" s="227" t="str">
        <f>+IF(AE5&gt;1,"diameter bevestiger","")</f>
        <v>diameter bevestiger</v>
      </c>
      <c r="I4" s="227"/>
      <c r="J4" s="227"/>
      <c r="K4" s="227"/>
      <c r="L4" s="42">
        <v>5</v>
      </c>
      <c r="M4" s="233" t="str">
        <f>+IF(AE5=1,IF(ISBLANK(L4),"","geen waarde invullen"),IF(AND(AE5&gt;1,L4=0),"diameter bevestigers invullen","mm"))</f>
        <v>mm</v>
      </c>
      <c r="N4" s="233"/>
      <c r="O4" s="233"/>
      <c r="P4" s="233"/>
      <c r="Q4" s="233"/>
      <c r="R4" s="233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F4" s="17" t="s">
        <v>47</v>
      </c>
      <c r="AG4" s="21">
        <f>+AG3+1</f>
        <v>4</v>
      </c>
      <c r="AH4" s="22">
        <v>0.1</v>
      </c>
      <c r="AI4" s="22">
        <v>0.04</v>
      </c>
      <c r="AJ4" s="22">
        <v>0.22</v>
      </c>
      <c r="AM4" s="21" t="s">
        <v>75</v>
      </c>
      <c r="AN4" s="50"/>
      <c r="AO4" s="69">
        <v>1</v>
      </c>
      <c r="AP4" s="69">
        <v>1</v>
      </c>
    </row>
    <row r="5" spans="1:42" s="21" customFormat="1" ht="17.45" customHeight="1" thickBot="1" x14ac:dyDescent="0.3">
      <c r="A5" s="234" t="s">
        <v>68</v>
      </c>
      <c r="B5" s="234"/>
      <c r="C5" s="234"/>
      <c r="D5" s="234"/>
      <c r="E5" s="234"/>
      <c r="F5" s="234"/>
      <c r="G5" s="234"/>
      <c r="H5" s="234"/>
      <c r="I5" s="234"/>
      <c r="J5" s="235" t="str">
        <f>+IF(AE8=1,"hout %","")</f>
        <v/>
      </c>
      <c r="K5" s="235"/>
      <c r="L5" s="18">
        <v>6.5000000000000002E-2</v>
      </c>
      <c r="M5" s="236" t="str">
        <f>+IF(AE8=2,IF(ISBLANK(L5),"","geen waarde invullen"),IF(AND(AE8=1,ISNUMBER(L5),L5&gt;0),"","percentage invullen"))</f>
        <v>geen waarde invullen</v>
      </c>
      <c r="N5" s="236"/>
      <c r="O5" s="236"/>
      <c r="P5" s="236"/>
      <c r="Q5" s="236"/>
      <c r="R5" s="236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19">
        <v>2</v>
      </c>
      <c r="AF5" s="19" t="s">
        <v>57</v>
      </c>
      <c r="AG5" s="23">
        <v>1</v>
      </c>
      <c r="AH5" s="24" t="s">
        <v>62</v>
      </c>
      <c r="AI5" s="25" t="s">
        <v>60</v>
      </c>
      <c r="AM5" s="21" t="s">
        <v>97</v>
      </c>
      <c r="AN5" s="90">
        <f>AN3*AO4*AP4</f>
        <v>2.7E-2</v>
      </c>
      <c r="AO5" s="50"/>
      <c r="AP5" s="50"/>
    </row>
    <row r="6" spans="1:42" ht="13.5" customHeight="1" x14ac:dyDescent="0.25">
      <c r="A6" s="26" t="s">
        <v>63</v>
      </c>
      <c r="B6" s="149" t="s">
        <v>27</v>
      </c>
      <c r="C6" s="151"/>
      <c r="D6" s="149" t="s">
        <v>28</v>
      </c>
      <c r="E6" s="151"/>
      <c r="F6" s="149" t="s">
        <v>29</v>
      </c>
      <c r="G6" s="150"/>
      <c r="H6" s="151"/>
      <c r="I6" s="9" t="s">
        <v>30</v>
      </c>
      <c r="J6" s="149" t="s">
        <v>31</v>
      </c>
      <c r="K6" s="151"/>
      <c r="L6" s="13" t="s">
        <v>32</v>
      </c>
      <c r="M6" s="149" t="s">
        <v>33</v>
      </c>
      <c r="N6" s="150"/>
      <c r="O6" s="149" t="s">
        <v>34</v>
      </c>
      <c r="P6" s="150"/>
      <c r="Q6" s="13" t="s">
        <v>21</v>
      </c>
      <c r="R6" s="9" t="s">
        <v>35</v>
      </c>
      <c r="S6" s="13" t="s">
        <v>36</v>
      </c>
      <c r="T6" s="9" t="s">
        <v>37</v>
      </c>
      <c r="U6" s="9" t="s">
        <v>38</v>
      </c>
      <c r="V6" s="149" t="s">
        <v>39</v>
      </c>
      <c r="W6" s="150"/>
      <c r="X6" s="151"/>
      <c r="Y6" s="9" t="s">
        <v>1</v>
      </c>
      <c r="Z6" s="11" t="s">
        <v>40</v>
      </c>
      <c r="AA6" s="152" t="s">
        <v>41</v>
      </c>
      <c r="AB6" s="153"/>
      <c r="AC6" s="154"/>
      <c r="AD6" s="13" t="s">
        <v>41</v>
      </c>
      <c r="AF6" s="19" t="s">
        <v>58</v>
      </c>
      <c r="AG6" s="23">
        <f>+AG5+1</f>
        <v>2</v>
      </c>
      <c r="AH6" s="23">
        <v>50</v>
      </c>
      <c r="AI6" s="23" t="s">
        <v>61</v>
      </c>
      <c r="AL6" s="49"/>
      <c r="AM6" s="65" t="s">
        <v>98</v>
      </c>
      <c r="AN6" s="72">
        <f>AN5</f>
        <v>2.7E-2</v>
      </c>
      <c r="AO6" s="66"/>
      <c r="AP6" s="66"/>
    </row>
    <row r="7" spans="1:42" ht="13.5" customHeight="1" x14ac:dyDescent="0.25">
      <c r="A7" s="27"/>
      <c r="B7" s="201" t="s">
        <v>56</v>
      </c>
      <c r="C7" s="203"/>
      <c r="D7" s="10"/>
      <c r="E7" s="28"/>
      <c r="F7" s="201" t="s">
        <v>44</v>
      </c>
      <c r="G7" s="202"/>
      <c r="H7" s="203"/>
      <c r="I7" s="10" t="s">
        <v>43</v>
      </c>
      <c r="J7" s="201" t="s">
        <v>44</v>
      </c>
      <c r="K7" s="203"/>
      <c r="L7" s="14" t="s">
        <v>43</v>
      </c>
      <c r="M7" s="201" t="s">
        <v>54</v>
      </c>
      <c r="N7" s="202"/>
      <c r="O7" s="201" t="s">
        <v>55</v>
      </c>
      <c r="P7" s="202"/>
      <c r="Q7" s="14" t="s">
        <v>52</v>
      </c>
      <c r="R7" s="10" t="s">
        <v>53</v>
      </c>
      <c r="S7" s="14" t="s">
        <v>43</v>
      </c>
      <c r="T7" s="10" t="s">
        <v>49</v>
      </c>
      <c r="U7" s="10">
        <v>8.1300000000000008</v>
      </c>
      <c r="V7" s="201" t="s">
        <v>50</v>
      </c>
      <c r="W7" s="202"/>
      <c r="X7" s="203"/>
      <c r="Y7" s="10" t="s">
        <v>48</v>
      </c>
      <c r="Z7" s="12" t="s">
        <v>42</v>
      </c>
      <c r="AA7" s="155" t="s">
        <v>51</v>
      </c>
      <c r="AB7" s="156"/>
      <c r="AC7" s="157"/>
      <c r="AD7" s="14"/>
      <c r="AF7" s="19" t="s">
        <v>59</v>
      </c>
      <c r="AG7" s="23">
        <f>+AG6+1</f>
        <v>3</v>
      </c>
      <c r="AH7" s="23">
        <v>17</v>
      </c>
      <c r="AI7" s="23" t="s">
        <v>61</v>
      </c>
    </row>
    <row r="8" spans="1:42" ht="13.5" customHeight="1" x14ac:dyDescent="0.25">
      <c r="A8" s="237" t="s">
        <v>65</v>
      </c>
      <c r="B8" s="158" t="s">
        <v>3</v>
      </c>
      <c r="C8" s="217"/>
      <c r="D8" s="158" t="s">
        <v>3</v>
      </c>
      <c r="E8" s="217"/>
      <c r="F8" s="158" t="s">
        <v>119</v>
      </c>
      <c r="G8" s="217"/>
      <c r="H8" s="208"/>
      <c r="I8" s="158" t="s">
        <v>9</v>
      </c>
      <c r="J8" s="158" t="s">
        <v>15</v>
      </c>
      <c r="K8" s="217"/>
      <c r="L8" s="198" t="s">
        <v>9</v>
      </c>
      <c r="M8" s="204" t="s">
        <v>13</v>
      </c>
      <c r="N8" s="206" t="s">
        <v>14</v>
      </c>
      <c r="O8" s="158" t="s">
        <v>121</v>
      </c>
      <c r="P8" s="208"/>
      <c r="Q8" s="211" t="s">
        <v>118</v>
      </c>
      <c r="R8" s="214" t="s">
        <v>117</v>
      </c>
      <c r="S8" s="193" t="s">
        <v>23</v>
      </c>
      <c r="T8" s="158" t="s">
        <v>24</v>
      </c>
      <c r="U8" s="198" t="s">
        <v>25</v>
      </c>
      <c r="V8" s="158" t="s">
        <v>22</v>
      </c>
      <c r="W8" s="217"/>
      <c r="X8" s="220" t="s">
        <v>26</v>
      </c>
      <c r="Y8" s="158" t="s">
        <v>0</v>
      </c>
      <c r="Z8" s="158" t="s">
        <v>2</v>
      </c>
      <c r="AA8" s="158" t="s">
        <v>122</v>
      </c>
      <c r="AB8" s="159"/>
      <c r="AC8" s="160"/>
      <c r="AD8" s="176" t="s">
        <v>4</v>
      </c>
      <c r="AE8" s="19">
        <v>2</v>
      </c>
      <c r="AF8" s="19" t="s">
        <v>66</v>
      </c>
      <c r="AH8" s="29"/>
    </row>
    <row r="9" spans="1:42" ht="13.5" customHeight="1" x14ac:dyDescent="0.25">
      <c r="A9" s="238"/>
      <c r="B9" s="196"/>
      <c r="C9" s="218"/>
      <c r="D9" s="196"/>
      <c r="E9" s="218"/>
      <c r="F9" s="196"/>
      <c r="G9" s="218"/>
      <c r="H9" s="209"/>
      <c r="I9" s="196"/>
      <c r="J9" s="196"/>
      <c r="K9" s="218"/>
      <c r="L9" s="199"/>
      <c r="M9" s="205"/>
      <c r="N9" s="207"/>
      <c r="O9" s="196"/>
      <c r="P9" s="209"/>
      <c r="Q9" s="212"/>
      <c r="R9" s="215"/>
      <c r="S9" s="194"/>
      <c r="T9" s="196"/>
      <c r="U9" s="199"/>
      <c r="V9" s="196"/>
      <c r="W9" s="218"/>
      <c r="X9" s="221"/>
      <c r="Y9" s="196"/>
      <c r="Z9" s="196"/>
      <c r="AA9" s="161"/>
      <c r="AB9" s="162"/>
      <c r="AC9" s="163"/>
      <c r="AD9" s="177"/>
      <c r="AF9" s="19" t="s">
        <v>67</v>
      </c>
      <c r="AG9" s="29"/>
      <c r="AH9" s="29"/>
      <c r="AI9" s="29"/>
      <c r="AJ9" s="29"/>
    </row>
    <row r="10" spans="1:42" ht="13.5" customHeight="1" x14ac:dyDescent="0.25">
      <c r="A10" s="238"/>
      <c r="B10" s="196"/>
      <c r="C10" s="218"/>
      <c r="D10" s="196"/>
      <c r="E10" s="218"/>
      <c r="F10" s="196"/>
      <c r="G10" s="218"/>
      <c r="H10" s="209"/>
      <c r="I10" s="196"/>
      <c r="J10" s="196"/>
      <c r="K10" s="218"/>
      <c r="L10" s="199"/>
      <c r="M10" s="205"/>
      <c r="N10" s="207"/>
      <c r="O10" s="196"/>
      <c r="P10" s="209"/>
      <c r="Q10" s="212"/>
      <c r="R10" s="215"/>
      <c r="S10" s="194"/>
      <c r="T10" s="196"/>
      <c r="U10" s="199"/>
      <c r="V10" s="196"/>
      <c r="W10" s="218"/>
      <c r="X10" s="221"/>
      <c r="Y10" s="196"/>
      <c r="Z10" s="196"/>
      <c r="AA10" s="161"/>
      <c r="AB10" s="162"/>
      <c r="AC10" s="163"/>
      <c r="AD10" s="177"/>
      <c r="AJ10" s="29"/>
    </row>
    <row r="11" spans="1:42" ht="13.5" customHeight="1" x14ac:dyDescent="0.25">
      <c r="A11" s="238"/>
      <c r="B11" s="196"/>
      <c r="C11" s="218"/>
      <c r="D11" s="196"/>
      <c r="E11" s="218"/>
      <c r="F11" s="196"/>
      <c r="G11" s="218"/>
      <c r="H11" s="209"/>
      <c r="I11" s="196"/>
      <c r="J11" s="196"/>
      <c r="K11" s="218"/>
      <c r="L11" s="199"/>
      <c r="M11" s="205"/>
      <c r="N11" s="207"/>
      <c r="O11" s="196"/>
      <c r="P11" s="209"/>
      <c r="Q11" s="212"/>
      <c r="R11" s="215"/>
      <c r="S11" s="194"/>
      <c r="T11" s="196"/>
      <c r="U11" s="199"/>
      <c r="V11" s="196"/>
      <c r="W11" s="218"/>
      <c r="X11" s="221"/>
      <c r="Y11" s="196"/>
      <c r="Z11" s="196"/>
      <c r="AA11" s="161"/>
      <c r="AB11" s="162"/>
      <c r="AC11" s="163"/>
      <c r="AD11" s="177"/>
      <c r="AH11" s="29"/>
      <c r="AI11" s="29"/>
      <c r="AJ11" s="29"/>
    </row>
    <row r="12" spans="1:42" ht="13.5" customHeight="1" x14ac:dyDescent="0.25">
      <c r="A12" s="238"/>
      <c r="B12" s="197"/>
      <c r="C12" s="219"/>
      <c r="D12" s="197"/>
      <c r="E12" s="219"/>
      <c r="F12" s="197"/>
      <c r="G12" s="219"/>
      <c r="H12" s="210"/>
      <c r="I12" s="197"/>
      <c r="J12" s="197"/>
      <c r="K12" s="219"/>
      <c r="L12" s="200"/>
      <c r="M12" s="179" t="str">
        <f>+CONCATENATE(G16*100,"% x")</f>
        <v>100% x</v>
      </c>
      <c r="N12" s="181" t="str">
        <f>+CONCATENATE(ROUND(K16*100,1),"% x")</f>
        <v>0% x</v>
      </c>
      <c r="O12" s="197"/>
      <c r="P12" s="210"/>
      <c r="Q12" s="212"/>
      <c r="R12" s="215"/>
      <c r="S12" s="194"/>
      <c r="T12" s="197"/>
      <c r="U12" s="200"/>
      <c r="V12" s="196"/>
      <c r="W12" s="218"/>
      <c r="X12" s="221"/>
      <c r="Y12" s="197"/>
      <c r="Z12" s="197"/>
      <c r="AA12" s="161"/>
      <c r="AB12" s="162"/>
      <c r="AC12" s="163"/>
      <c r="AD12" s="178"/>
      <c r="AF12" s="30"/>
      <c r="AH12" s="29"/>
      <c r="AI12" s="29"/>
      <c r="AJ12" s="29"/>
    </row>
    <row r="13" spans="1:42" ht="13.5" customHeight="1" x14ac:dyDescent="0.25">
      <c r="A13" s="238"/>
      <c r="B13" s="1" t="s">
        <v>11</v>
      </c>
      <c r="C13" s="31">
        <f>+F2</f>
        <v>2.7E-2</v>
      </c>
      <c r="D13" s="1" t="s">
        <v>12</v>
      </c>
      <c r="E13" s="31">
        <v>0.13</v>
      </c>
      <c r="F13" s="1" t="s">
        <v>8</v>
      </c>
      <c r="G13" s="32">
        <f>+VLOOKUP(AE1,AG1:AJ4,2)</f>
        <v>0.13</v>
      </c>
      <c r="H13" s="32" t="s">
        <v>45</v>
      </c>
      <c r="I13" s="172"/>
      <c r="J13" s="184"/>
      <c r="K13" s="185"/>
      <c r="L13" s="188"/>
      <c r="M13" s="179"/>
      <c r="N13" s="181"/>
      <c r="O13" s="191" t="s">
        <v>18</v>
      </c>
      <c r="P13" s="192"/>
      <c r="Q13" s="212"/>
      <c r="R13" s="215"/>
      <c r="S13" s="194"/>
      <c r="T13" s="172"/>
      <c r="U13" s="172"/>
      <c r="V13" s="197"/>
      <c r="W13" s="219"/>
      <c r="X13" s="222"/>
      <c r="Y13" s="172"/>
      <c r="Z13" s="168"/>
      <c r="AA13" s="114"/>
      <c r="AB13" s="116"/>
      <c r="AC13" s="117"/>
      <c r="AD13" s="146"/>
      <c r="AH13" s="29"/>
      <c r="AI13" s="29"/>
      <c r="AJ13" s="29"/>
      <c r="AK13" s="29"/>
    </row>
    <row r="14" spans="1:42" ht="13.5" customHeight="1" x14ac:dyDescent="0.25">
      <c r="A14" s="238"/>
      <c r="B14" s="164" t="s">
        <v>64</v>
      </c>
      <c r="C14" s="165"/>
      <c r="D14" s="164" t="s">
        <v>61</v>
      </c>
      <c r="E14" s="165"/>
      <c r="F14" s="1" t="s">
        <v>10</v>
      </c>
      <c r="G14" s="32">
        <f>+VLOOKUP(AE1,AG1:AJ4,3)</f>
        <v>0.04</v>
      </c>
      <c r="H14" s="32" t="s">
        <v>45</v>
      </c>
      <c r="I14" s="183"/>
      <c r="J14" s="186"/>
      <c r="K14" s="187"/>
      <c r="L14" s="189"/>
      <c r="M14" s="180"/>
      <c r="N14" s="182"/>
      <c r="O14" s="1" t="str">
        <f>+CONCATENATE(G16*100,"% x")</f>
        <v>100% x</v>
      </c>
      <c r="P14" s="2" t="s">
        <v>19</v>
      </c>
      <c r="Q14" s="213"/>
      <c r="R14" s="216"/>
      <c r="S14" s="195"/>
      <c r="T14" s="183"/>
      <c r="U14" s="183"/>
      <c r="V14" s="33" t="s">
        <v>5</v>
      </c>
      <c r="W14" s="32">
        <f>+IF(AND(ISNUMBER(L3),L3&gt;0),L3,"n.v.t.")</f>
        <v>5</v>
      </c>
      <c r="X14" s="8" t="str">
        <f>+IF(W14="n.v.t.","","stuks/m²")</f>
        <v>stuks/m²</v>
      </c>
      <c r="Y14" s="183"/>
      <c r="Z14" s="191"/>
      <c r="AA14" s="113"/>
      <c r="AB14" s="118"/>
      <c r="AC14" s="119"/>
      <c r="AD14" s="147"/>
    </row>
    <row r="15" spans="1:42" ht="13.5" customHeight="1" x14ac:dyDescent="0.25">
      <c r="A15" s="238"/>
      <c r="B15" s="164"/>
      <c r="C15" s="165"/>
      <c r="D15" s="164"/>
      <c r="E15" s="165"/>
      <c r="F15" s="34"/>
      <c r="G15" s="32"/>
      <c r="H15" s="32"/>
      <c r="I15" s="183"/>
      <c r="J15" s="186"/>
      <c r="K15" s="187"/>
      <c r="L15" s="189"/>
      <c r="M15" s="168"/>
      <c r="N15" s="169"/>
      <c r="O15" s="1" t="str">
        <f>+CONCATENATE(ROUND(K16*100,1),"% x")</f>
        <v>0% x</v>
      </c>
      <c r="P15" s="2" t="s">
        <v>20</v>
      </c>
      <c r="Q15" s="172"/>
      <c r="R15" s="172"/>
      <c r="S15" s="172"/>
      <c r="T15" s="183"/>
      <c r="U15" s="183"/>
      <c r="V15" s="5" t="s">
        <v>6</v>
      </c>
      <c r="W15" s="6">
        <f>+VLOOKUP(AE5,AG5:AI7,2)</f>
        <v>50</v>
      </c>
      <c r="X15" s="8" t="str">
        <f>+VLOOKUP(AE5,AG5:AI7,3)</f>
        <v>tabel H.1</v>
      </c>
      <c r="Y15" s="183"/>
      <c r="Z15" s="191"/>
      <c r="AA15" s="113"/>
      <c r="AB15" s="118"/>
      <c r="AC15" s="119"/>
      <c r="AD15" s="147"/>
      <c r="AF15" s="24" t="s">
        <v>60</v>
      </c>
      <c r="AL15" s="53"/>
      <c r="AM15" s="56"/>
    </row>
    <row r="16" spans="1:42" ht="13.5" customHeight="1" thickBot="1" x14ac:dyDescent="0.3">
      <c r="A16" s="239"/>
      <c r="B16" s="166"/>
      <c r="C16" s="167"/>
      <c r="D16" s="166"/>
      <c r="E16" s="167"/>
      <c r="F16" s="3" t="s">
        <v>17</v>
      </c>
      <c r="G16" s="174">
        <f>1-K16</f>
        <v>1</v>
      </c>
      <c r="H16" s="175"/>
      <c r="I16" s="173"/>
      <c r="J16" s="16" t="s">
        <v>16</v>
      </c>
      <c r="K16" s="35">
        <f>+IF(AE8=1,L5,0)</f>
        <v>0</v>
      </c>
      <c r="L16" s="190"/>
      <c r="M16" s="170"/>
      <c r="N16" s="171"/>
      <c r="O16" s="44"/>
      <c r="P16" s="4"/>
      <c r="Q16" s="173"/>
      <c r="R16" s="173"/>
      <c r="S16" s="173"/>
      <c r="T16" s="173"/>
      <c r="U16" s="173"/>
      <c r="V16" s="7" t="s">
        <v>7</v>
      </c>
      <c r="W16" s="36">
        <f>+IF(AND(ISNUMBER(L4),L4&gt;0),L4,"n.v.t.")</f>
        <v>5</v>
      </c>
      <c r="X16" s="15" t="str">
        <f>+IF(W16="n.v.t.","","mm")</f>
        <v>mm</v>
      </c>
      <c r="Y16" s="173"/>
      <c r="Z16" s="170"/>
      <c r="AA16" s="120" t="s">
        <v>120</v>
      </c>
      <c r="AB16" s="121">
        <f>+VLOOKUP(AE1,AG1:AJ4,4)</f>
        <v>0.36</v>
      </c>
      <c r="AC16" s="122" t="s">
        <v>65</v>
      </c>
      <c r="AD16" s="148"/>
      <c r="AL16" s="54" t="s">
        <v>83</v>
      </c>
      <c r="AM16" s="92" t="s">
        <v>124</v>
      </c>
    </row>
    <row r="17" spans="1:39" ht="13.5" customHeight="1" x14ac:dyDescent="0.25">
      <c r="A17" s="23">
        <v>40</v>
      </c>
      <c r="B17" s="144">
        <f>+$A17*0.001/C$13</f>
        <v>1.4814814814814816</v>
      </c>
      <c r="C17" s="145"/>
      <c r="D17" s="144">
        <f>+$A17*0.001/E$13</f>
        <v>0.30769230769230771</v>
      </c>
      <c r="E17" s="145"/>
      <c r="F17" s="144">
        <f t="shared" ref="F17:F35" si="0">(B17+$G$13+$G$14)</f>
        <v>1.6514814814814818</v>
      </c>
      <c r="G17" s="145"/>
      <c r="H17" s="46"/>
      <c r="I17" s="38">
        <f>1/F17</f>
        <v>0.6055169320475442</v>
      </c>
      <c r="J17" s="144">
        <f t="shared" ref="J17:J35" si="1">(D17+$G$13+$G$14)</f>
        <v>0.47769230769230769</v>
      </c>
      <c r="K17" s="145"/>
      <c r="L17" s="38">
        <f>1/J17</f>
        <v>2.0933977455716586</v>
      </c>
      <c r="M17" s="144">
        <f>1/($G$16*I17+$K$16*L17)</f>
        <v>1.6514814814814818</v>
      </c>
      <c r="N17" s="145"/>
      <c r="O17" s="144">
        <f t="shared" ref="O17:O35" si="2">+A17*0.001/($G$16*$C$13+$K$16*$E$13)+$G$13+$G$14</f>
        <v>1.6514814814814818</v>
      </c>
      <c r="P17" s="145"/>
      <c r="Q17" s="45">
        <f t="shared" ref="Q17:Q35" si="3">+IF(M17/(O17)&lt;1.05,0,1)</f>
        <v>0</v>
      </c>
      <c r="R17" s="38">
        <f t="shared" ref="R17:R35" si="4">+((Q17*M17+O17)/(1+1.05*Q17))</f>
        <v>1.6514814814814818</v>
      </c>
      <c r="S17" s="38">
        <f>1/R17</f>
        <v>0.6055169320475442</v>
      </c>
      <c r="T17" s="38">
        <v>0</v>
      </c>
      <c r="U17" s="38">
        <v>0</v>
      </c>
      <c r="V17" s="144">
        <f>+IF(ISNUMBER($W$15),POWER(B17/R17,2)*((0.8*A17/A17)*($L$3*$W$15*PI()*POWER(($L$4/2)*0.001,2))/(A17*0.001)),0)</f>
        <v>7.9003245427258853E-2</v>
      </c>
      <c r="W17" s="145"/>
      <c r="X17" s="46"/>
      <c r="Y17" s="38">
        <f>T17+U17+V17</f>
        <v>7.9003245427258853E-2</v>
      </c>
      <c r="Z17" s="38">
        <f t="shared" ref="Z17:Z35" si="5">S17/1+Y17</f>
        <v>0.68452017747480309</v>
      </c>
      <c r="AA17" s="38"/>
      <c r="AB17" s="115">
        <f t="shared" ref="AB17:AB35" si="6">1/Z17-$G$13-$G$14+$AB$16</f>
        <v>1.6508773165591739</v>
      </c>
      <c r="AC17" s="115"/>
      <c r="AD17" s="39">
        <f t="shared" ref="AD17:AD35" si="7">ROUND(AB17,1)</f>
        <v>1.7</v>
      </c>
      <c r="AE17" s="37"/>
      <c r="AL17" s="85"/>
      <c r="AM17" s="52"/>
    </row>
    <row r="18" spans="1:39" ht="13.5" customHeight="1" x14ac:dyDescent="0.25">
      <c r="A18" s="23">
        <f t="shared" ref="A18:A23" si="8">+A17+10</f>
        <v>50</v>
      </c>
      <c r="B18" s="144">
        <f t="shared" ref="B18:B35" si="9">+$A18*0.001/C$13</f>
        <v>1.8518518518518521</v>
      </c>
      <c r="C18" s="145"/>
      <c r="D18" s="144">
        <f>+$A18*0.001/E$13</f>
        <v>0.38461538461538464</v>
      </c>
      <c r="E18" s="145"/>
      <c r="F18" s="144">
        <f t="shared" si="0"/>
        <v>2.021851851851852</v>
      </c>
      <c r="G18" s="145"/>
      <c r="H18" s="46"/>
      <c r="I18" s="38">
        <f>1/F18</f>
        <v>0.49459607986810766</v>
      </c>
      <c r="J18" s="144">
        <f t="shared" si="1"/>
        <v>0.55461538461538473</v>
      </c>
      <c r="K18" s="145"/>
      <c r="L18" s="38">
        <f>1/J18</f>
        <v>1.8030513176144241</v>
      </c>
      <c r="M18" s="144">
        <f t="shared" ref="M18:M35" si="10">1/($G$16*I18+$K$16*L18)</f>
        <v>2.021851851851852</v>
      </c>
      <c r="N18" s="145"/>
      <c r="O18" s="144">
        <f t="shared" si="2"/>
        <v>2.021851851851852</v>
      </c>
      <c r="P18" s="145"/>
      <c r="Q18" s="45">
        <f t="shared" si="3"/>
        <v>0</v>
      </c>
      <c r="R18" s="38">
        <f t="shared" si="4"/>
        <v>2.021851851851852</v>
      </c>
      <c r="S18" s="38">
        <f t="shared" ref="S18:S35" si="11">1/R18</f>
        <v>0.49459607986810766</v>
      </c>
      <c r="T18" s="38">
        <v>0</v>
      </c>
      <c r="U18" s="38">
        <v>0</v>
      </c>
      <c r="V18" s="144">
        <f t="shared" ref="V18:V35" si="12">+IF(ISNUMBER($W$15),POWER(B18/R18,2)*((0.8*A18/A18)*($L$3*$W$15*PI()*POWER(($L$4/2)*0.001,2))/(A18*0.001)),0)</f>
        <v>6.5887601981096361E-2</v>
      </c>
      <c r="W18" s="145"/>
      <c r="X18" s="46"/>
      <c r="Y18" s="38">
        <f t="shared" ref="Y18:Y35" si="13">T18+U18+V18</f>
        <v>6.5887601981096361E-2</v>
      </c>
      <c r="Z18" s="38">
        <f t="shared" si="5"/>
        <v>0.56048368184920405</v>
      </c>
      <c r="AA18" s="38"/>
      <c r="AB18" s="115">
        <f t="shared" si="6"/>
        <v>1.9741732638864695</v>
      </c>
      <c r="AC18" s="115"/>
      <c r="AD18" s="39">
        <f t="shared" si="7"/>
        <v>2</v>
      </c>
      <c r="AL18" s="85"/>
      <c r="AM18" s="52"/>
    </row>
    <row r="19" spans="1:39" ht="13.5" customHeight="1" x14ac:dyDescent="0.25">
      <c r="A19" s="23">
        <f t="shared" si="8"/>
        <v>60</v>
      </c>
      <c r="B19" s="144">
        <f t="shared" si="9"/>
        <v>2.2222222222222223</v>
      </c>
      <c r="C19" s="145"/>
      <c r="D19" s="144">
        <f t="shared" ref="D19:D35" si="14">+$A19*0.001/E$13</f>
        <v>0.46153846153846151</v>
      </c>
      <c r="E19" s="145"/>
      <c r="F19" s="144">
        <f t="shared" si="0"/>
        <v>2.3922222222222222</v>
      </c>
      <c r="G19" s="145"/>
      <c r="H19" s="46"/>
      <c r="I19" s="38">
        <f t="shared" ref="I19:I35" si="15">1/F19</f>
        <v>0.41802136553646074</v>
      </c>
      <c r="J19" s="144">
        <f t="shared" si="1"/>
        <v>0.6315384615384616</v>
      </c>
      <c r="K19" s="145"/>
      <c r="L19" s="38">
        <f t="shared" ref="L19:L35" si="16">1/J19</f>
        <v>1.5834348355663823</v>
      </c>
      <c r="M19" s="144">
        <f t="shared" si="10"/>
        <v>2.3922222222222222</v>
      </c>
      <c r="N19" s="145"/>
      <c r="O19" s="144">
        <f t="shared" si="2"/>
        <v>2.3922222222222222</v>
      </c>
      <c r="P19" s="145"/>
      <c r="Q19" s="45">
        <f t="shared" si="3"/>
        <v>0</v>
      </c>
      <c r="R19" s="38">
        <f t="shared" si="4"/>
        <v>2.3922222222222222</v>
      </c>
      <c r="S19" s="38">
        <f t="shared" si="11"/>
        <v>0.41802136553646074</v>
      </c>
      <c r="T19" s="38">
        <v>0</v>
      </c>
      <c r="U19" s="38">
        <v>0</v>
      </c>
      <c r="V19" s="144">
        <f t="shared" si="12"/>
        <v>5.6478163587970233E-2</v>
      </c>
      <c r="W19" s="145"/>
      <c r="X19" s="46"/>
      <c r="Y19" s="38">
        <f t="shared" si="13"/>
        <v>5.6478163587970233E-2</v>
      </c>
      <c r="Z19" s="38">
        <f t="shared" si="5"/>
        <v>0.474499529124431</v>
      </c>
      <c r="AA19" s="38"/>
      <c r="AB19" s="115">
        <f t="shared" si="6"/>
        <v>2.2974836509221563</v>
      </c>
      <c r="AC19" s="115"/>
      <c r="AD19" s="39">
        <f t="shared" si="7"/>
        <v>2.2999999999999998</v>
      </c>
      <c r="AL19" s="85"/>
      <c r="AM19" s="52"/>
    </row>
    <row r="20" spans="1:39" ht="13.5" customHeight="1" x14ac:dyDescent="0.25">
      <c r="A20" s="23">
        <f t="shared" si="8"/>
        <v>70</v>
      </c>
      <c r="B20" s="144">
        <f t="shared" si="9"/>
        <v>2.592592592592593</v>
      </c>
      <c r="C20" s="145"/>
      <c r="D20" s="144">
        <f t="shared" si="14"/>
        <v>0.53846153846153855</v>
      </c>
      <c r="E20" s="145"/>
      <c r="F20" s="144">
        <f t="shared" si="0"/>
        <v>2.7625925925925929</v>
      </c>
      <c r="G20" s="145"/>
      <c r="H20" s="46"/>
      <c r="I20" s="38">
        <f t="shared" si="15"/>
        <v>0.3619788175358627</v>
      </c>
      <c r="J20" s="144">
        <f t="shared" si="1"/>
        <v>0.70846153846153859</v>
      </c>
      <c r="K20" s="145"/>
      <c r="L20" s="38">
        <f t="shared" si="16"/>
        <v>1.4115092290988054</v>
      </c>
      <c r="M20" s="144">
        <f t="shared" si="10"/>
        <v>2.7625925925925929</v>
      </c>
      <c r="N20" s="145"/>
      <c r="O20" s="144">
        <f t="shared" si="2"/>
        <v>2.7625925925925929</v>
      </c>
      <c r="P20" s="145"/>
      <c r="Q20" s="45">
        <f t="shared" si="3"/>
        <v>0</v>
      </c>
      <c r="R20" s="38">
        <f t="shared" si="4"/>
        <v>2.7625925925925929</v>
      </c>
      <c r="S20" s="38">
        <f t="shared" si="11"/>
        <v>0.3619788175358627</v>
      </c>
      <c r="T20" s="38">
        <v>0</v>
      </c>
      <c r="U20" s="38">
        <v>0</v>
      </c>
      <c r="V20" s="144">
        <f t="shared" si="12"/>
        <v>4.9407935960289744E-2</v>
      </c>
      <c r="W20" s="145"/>
      <c r="X20" s="46"/>
      <c r="Y20" s="38">
        <f t="shared" si="13"/>
        <v>4.9407935960289744E-2</v>
      </c>
      <c r="Z20" s="38">
        <f t="shared" si="5"/>
        <v>0.41138675349615245</v>
      </c>
      <c r="AA20" s="38"/>
      <c r="AB20" s="115">
        <f t="shared" si="6"/>
        <v>2.6208026242982871</v>
      </c>
      <c r="AC20" s="115"/>
      <c r="AD20" s="39">
        <f t="shared" si="7"/>
        <v>2.6</v>
      </c>
      <c r="AL20" s="85"/>
      <c r="AM20" s="52"/>
    </row>
    <row r="21" spans="1:39" ht="13.5" customHeight="1" x14ac:dyDescent="0.25">
      <c r="A21" s="23">
        <f t="shared" si="8"/>
        <v>80</v>
      </c>
      <c r="B21" s="144">
        <f t="shared" si="9"/>
        <v>2.9629629629629632</v>
      </c>
      <c r="C21" s="145"/>
      <c r="D21" s="144">
        <f t="shared" si="14"/>
        <v>0.61538461538461542</v>
      </c>
      <c r="E21" s="145"/>
      <c r="F21" s="144">
        <f t="shared" si="0"/>
        <v>3.1329629629629632</v>
      </c>
      <c r="G21" s="145"/>
      <c r="H21" s="46"/>
      <c r="I21" s="38">
        <f t="shared" si="15"/>
        <v>0.31918666509043619</v>
      </c>
      <c r="J21" s="144">
        <f t="shared" si="1"/>
        <v>0.78538461538461546</v>
      </c>
      <c r="K21" s="145"/>
      <c r="L21" s="38">
        <f t="shared" si="16"/>
        <v>1.2732615083251713</v>
      </c>
      <c r="M21" s="144">
        <f t="shared" si="10"/>
        <v>3.1329629629629632</v>
      </c>
      <c r="N21" s="145"/>
      <c r="O21" s="144">
        <f t="shared" si="2"/>
        <v>3.1329629629629632</v>
      </c>
      <c r="P21" s="145"/>
      <c r="Q21" s="45">
        <f t="shared" si="3"/>
        <v>0</v>
      </c>
      <c r="R21" s="38">
        <f t="shared" si="4"/>
        <v>3.1329629629629632</v>
      </c>
      <c r="S21" s="38">
        <f t="shared" si="11"/>
        <v>0.31918666509043619</v>
      </c>
      <c r="T21" s="38">
        <v>0</v>
      </c>
      <c r="U21" s="38">
        <v>0</v>
      </c>
      <c r="V21" s="144">
        <f t="shared" si="12"/>
        <v>4.3904781765287899E-2</v>
      </c>
      <c r="W21" s="145"/>
      <c r="X21" s="46"/>
      <c r="Y21" s="38">
        <f t="shared" si="13"/>
        <v>4.3904781765287899E-2</v>
      </c>
      <c r="Z21" s="38">
        <f t="shared" si="5"/>
        <v>0.36309144685572409</v>
      </c>
      <c r="AA21" s="38"/>
      <c r="AB21" s="115">
        <f t="shared" si="6"/>
        <v>2.9441271177267754</v>
      </c>
      <c r="AC21" s="115"/>
      <c r="AD21" s="39">
        <f t="shared" si="7"/>
        <v>2.9</v>
      </c>
      <c r="AF21" s="40"/>
      <c r="AL21" s="85"/>
      <c r="AM21" s="52"/>
    </row>
    <row r="22" spans="1:39" ht="13.5" customHeight="1" x14ac:dyDescent="0.25">
      <c r="A22" s="23">
        <f t="shared" si="8"/>
        <v>90</v>
      </c>
      <c r="B22" s="144">
        <f t="shared" si="9"/>
        <v>3.333333333333333</v>
      </c>
      <c r="C22" s="145"/>
      <c r="D22" s="144">
        <f t="shared" si="14"/>
        <v>0.69230769230769229</v>
      </c>
      <c r="E22" s="145"/>
      <c r="F22" s="144">
        <f t="shared" si="0"/>
        <v>3.503333333333333</v>
      </c>
      <c r="G22" s="145"/>
      <c r="H22" s="46"/>
      <c r="I22" s="38">
        <f t="shared" si="15"/>
        <v>0.28544243577545197</v>
      </c>
      <c r="J22" s="144">
        <f t="shared" si="1"/>
        <v>0.86230769230769233</v>
      </c>
      <c r="K22" s="145"/>
      <c r="L22" s="38">
        <f t="shared" si="16"/>
        <v>1.1596788581623549</v>
      </c>
      <c r="M22" s="144">
        <f t="shared" si="10"/>
        <v>3.503333333333333</v>
      </c>
      <c r="N22" s="145"/>
      <c r="O22" s="144">
        <f t="shared" si="2"/>
        <v>3.503333333333333</v>
      </c>
      <c r="P22" s="145"/>
      <c r="Q22" s="45">
        <f t="shared" si="3"/>
        <v>0</v>
      </c>
      <c r="R22" s="38">
        <f t="shared" si="4"/>
        <v>3.503333333333333</v>
      </c>
      <c r="S22" s="38">
        <f t="shared" si="11"/>
        <v>0.28544243577545197</v>
      </c>
      <c r="T22" s="38">
        <v>0</v>
      </c>
      <c r="U22" s="38">
        <v>0</v>
      </c>
      <c r="V22" s="144">
        <f t="shared" si="12"/>
        <v>3.9501350532779027E-2</v>
      </c>
      <c r="W22" s="145"/>
      <c r="X22" s="46"/>
      <c r="Y22" s="38">
        <f t="shared" si="13"/>
        <v>3.9501350532779027E-2</v>
      </c>
      <c r="Z22" s="38">
        <f t="shared" si="5"/>
        <v>0.32494378630823101</v>
      </c>
      <c r="AA22" s="38"/>
      <c r="AB22" s="115">
        <f t="shared" si="6"/>
        <v>3.2674553696233257</v>
      </c>
      <c r="AC22" s="115"/>
      <c r="AD22" s="39">
        <f t="shared" si="7"/>
        <v>3.3</v>
      </c>
      <c r="AL22" s="85"/>
      <c r="AM22" s="52"/>
    </row>
    <row r="23" spans="1:39" ht="13.5" customHeight="1" x14ac:dyDescent="0.25">
      <c r="A23" s="23">
        <f t="shared" si="8"/>
        <v>100</v>
      </c>
      <c r="B23" s="144">
        <f t="shared" si="9"/>
        <v>3.7037037037037042</v>
      </c>
      <c r="C23" s="145"/>
      <c r="D23" s="144">
        <f t="shared" si="14"/>
        <v>0.76923076923076927</v>
      </c>
      <c r="E23" s="145"/>
      <c r="F23" s="144">
        <f t="shared" si="0"/>
        <v>3.8737037037037041</v>
      </c>
      <c r="G23" s="145"/>
      <c r="H23" s="46"/>
      <c r="I23" s="38">
        <f t="shared" si="15"/>
        <v>0.25815087484463139</v>
      </c>
      <c r="J23" s="144">
        <f t="shared" si="1"/>
        <v>0.93923076923076931</v>
      </c>
      <c r="K23" s="145"/>
      <c r="L23" s="38">
        <f t="shared" si="16"/>
        <v>1.0647010647010646</v>
      </c>
      <c r="M23" s="144">
        <f t="shared" si="10"/>
        <v>3.8737037037037041</v>
      </c>
      <c r="N23" s="145"/>
      <c r="O23" s="144">
        <f t="shared" si="2"/>
        <v>3.8737037037037041</v>
      </c>
      <c r="P23" s="145"/>
      <c r="Q23" s="45">
        <f t="shared" si="3"/>
        <v>0</v>
      </c>
      <c r="R23" s="38">
        <f t="shared" si="4"/>
        <v>3.8737037037037041</v>
      </c>
      <c r="S23" s="38">
        <f t="shared" si="11"/>
        <v>0.25815087484463139</v>
      </c>
      <c r="T23" s="38">
        <v>0</v>
      </c>
      <c r="U23" s="38">
        <v>0</v>
      </c>
      <c r="V23" s="144">
        <f t="shared" si="12"/>
        <v>3.5898769265247023E-2</v>
      </c>
      <c r="W23" s="145"/>
      <c r="X23" s="46"/>
      <c r="Y23" s="38">
        <f t="shared" si="13"/>
        <v>3.5898769265247023E-2</v>
      </c>
      <c r="Z23" s="38">
        <f t="shared" si="5"/>
        <v>0.29404964410987844</v>
      </c>
      <c r="AA23" s="38"/>
      <c r="AB23" s="115">
        <f t="shared" si="6"/>
        <v>3.5907862958892984</v>
      </c>
      <c r="AC23" s="115"/>
      <c r="AD23" s="39">
        <f t="shared" si="7"/>
        <v>3.6</v>
      </c>
      <c r="AL23" s="85"/>
      <c r="AM23" s="52"/>
    </row>
    <row r="24" spans="1:39" ht="13.5" customHeight="1" x14ac:dyDescent="0.25">
      <c r="A24" s="23">
        <f t="shared" ref="A24:A35" si="17">+A23+10</f>
        <v>110</v>
      </c>
      <c r="B24" s="144">
        <f t="shared" si="9"/>
        <v>4.0740740740740744</v>
      </c>
      <c r="C24" s="145"/>
      <c r="D24" s="144">
        <f t="shared" si="14"/>
        <v>0.84615384615384615</v>
      </c>
      <c r="E24" s="145"/>
      <c r="F24" s="144">
        <f t="shared" si="0"/>
        <v>4.2440740740740743</v>
      </c>
      <c r="G24" s="145"/>
      <c r="H24" s="46"/>
      <c r="I24" s="38">
        <f t="shared" si="15"/>
        <v>0.2356226546819094</v>
      </c>
      <c r="J24" s="144">
        <f t="shared" si="1"/>
        <v>1.0161538461538462</v>
      </c>
      <c r="K24" s="145"/>
      <c r="L24" s="38">
        <f t="shared" si="16"/>
        <v>0.98410295230885692</v>
      </c>
      <c r="M24" s="144">
        <f t="shared" si="10"/>
        <v>4.2440740740740743</v>
      </c>
      <c r="N24" s="145"/>
      <c r="O24" s="144">
        <f t="shared" si="2"/>
        <v>4.2440740740740743</v>
      </c>
      <c r="P24" s="145"/>
      <c r="Q24" s="45">
        <f t="shared" si="3"/>
        <v>0</v>
      </c>
      <c r="R24" s="38">
        <f t="shared" si="4"/>
        <v>4.2440740740740743</v>
      </c>
      <c r="S24" s="38">
        <f t="shared" si="11"/>
        <v>0.2356226546819094</v>
      </c>
      <c r="T24" s="38">
        <v>0</v>
      </c>
      <c r="U24" s="38">
        <v>0</v>
      </c>
      <c r="V24" s="144">
        <f t="shared" si="12"/>
        <v>3.289721491213491E-2</v>
      </c>
      <c r="W24" s="145"/>
      <c r="X24" s="46"/>
      <c r="Y24" s="38">
        <f t="shared" si="13"/>
        <v>3.289721491213491E-2</v>
      </c>
      <c r="Z24" s="38">
        <f t="shared" si="5"/>
        <v>0.26851986959404434</v>
      </c>
      <c r="AA24" s="38"/>
      <c r="AB24" s="115">
        <f t="shared" si="6"/>
        <v>3.9141191927875849</v>
      </c>
      <c r="AC24" s="115"/>
      <c r="AD24" s="39">
        <f t="shared" si="7"/>
        <v>3.9</v>
      </c>
      <c r="AL24" s="85"/>
      <c r="AM24" s="52"/>
    </row>
    <row r="25" spans="1:39" ht="13.5" customHeight="1" x14ac:dyDescent="0.25">
      <c r="A25" s="23">
        <f t="shared" si="17"/>
        <v>120</v>
      </c>
      <c r="B25" s="144">
        <f t="shared" si="9"/>
        <v>4.4444444444444446</v>
      </c>
      <c r="C25" s="145"/>
      <c r="D25" s="144">
        <f t="shared" si="14"/>
        <v>0.92307692307692302</v>
      </c>
      <c r="E25" s="145"/>
      <c r="F25" s="144">
        <f t="shared" si="0"/>
        <v>4.6144444444444446</v>
      </c>
      <c r="G25" s="145"/>
      <c r="H25" s="46"/>
      <c r="I25" s="38">
        <f t="shared" si="15"/>
        <v>0.21671081146159402</v>
      </c>
      <c r="J25" s="144">
        <f t="shared" si="1"/>
        <v>1.0930769230769231</v>
      </c>
      <c r="K25" s="145"/>
      <c r="L25" s="38">
        <f t="shared" si="16"/>
        <v>0.91484869809992964</v>
      </c>
      <c r="M25" s="144">
        <f t="shared" si="10"/>
        <v>4.6144444444444446</v>
      </c>
      <c r="N25" s="145"/>
      <c r="O25" s="144">
        <f t="shared" si="2"/>
        <v>4.6144444444444446</v>
      </c>
      <c r="P25" s="145"/>
      <c r="Q25" s="45">
        <f t="shared" si="3"/>
        <v>0</v>
      </c>
      <c r="R25" s="38">
        <f t="shared" si="4"/>
        <v>4.6144444444444446</v>
      </c>
      <c r="S25" s="38">
        <f t="shared" si="11"/>
        <v>0.21671081146159402</v>
      </c>
      <c r="T25" s="38">
        <v>0</v>
      </c>
      <c r="U25" s="38">
        <v>0</v>
      </c>
      <c r="V25" s="144">
        <f t="shared" si="12"/>
        <v>3.0358112085026742E-2</v>
      </c>
      <c r="W25" s="145"/>
      <c r="X25" s="46"/>
      <c r="Y25" s="38">
        <f t="shared" si="13"/>
        <v>3.0358112085026742E-2</v>
      </c>
      <c r="Z25" s="38">
        <f t="shared" si="5"/>
        <v>0.24706892354662074</v>
      </c>
      <c r="AA25" s="38"/>
      <c r="AB25" s="115">
        <f t="shared" si="6"/>
        <v>4.2374535835799065</v>
      </c>
      <c r="AC25" s="115"/>
      <c r="AD25" s="39">
        <f t="shared" si="7"/>
        <v>4.2</v>
      </c>
      <c r="AL25" s="85"/>
      <c r="AM25" s="52"/>
    </row>
    <row r="26" spans="1:39" ht="13.5" customHeight="1" x14ac:dyDescent="0.25">
      <c r="A26" s="23">
        <f t="shared" si="17"/>
        <v>130</v>
      </c>
      <c r="B26" s="144">
        <f t="shared" si="9"/>
        <v>4.8148148148148149</v>
      </c>
      <c r="C26" s="145"/>
      <c r="D26" s="144">
        <f t="shared" si="14"/>
        <v>1</v>
      </c>
      <c r="E26" s="145"/>
      <c r="F26" s="144">
        <f t="shared" si="0"/>
        <v>4.9848148148148148</v>
      </c>
      <c r="G26" s="145"/>
      <c r="H26" s="46"/>
      <c r="I26" s="38">
        <f t="shared" si="15"/>
        <v>0.20060925774574634</v>
      </c>
      <c r="J26" s="144">
        <f t="shared" si="1"/>
        <v>1.17</v>
      </c>
      <c r="K26" s="145"/>
      <c r="L26" s="38">
        <f t="shared" si="16"/>
        <v>0.85470085470085477</v>
      </c>
      <c r="M26" s="144">
        <f t="shared" si="10"/>
        <v>4.9848148148148148</v>
      </c>
      <c r="N26" s="145"/>
      <c r="O26" s="144">
        <f t="shared" si="2"/>
        <v>4.9848148148148148</v>
      </c>
      <c r="P26" s="145"/>
      <c r="Q26" s="45">
        <f t="shared" si="3"/>
        <v>0</v>
      </c>
      <c r="R26" s="38">
        <f t="shared" si="4"/>
        <v>4.9848148148148148</v>
      </c>
      <c r="S26" s="38">
        <f t="shared" si="11"/>
        <v>0.20060925774574634</v>
      </c>
      <c r="T26" s="38">
        <v>0</v>
      </c>
      <c r="U26" s="38">
        <v>0</v>
      </c>
      <c r="V26" s="144">
        <f t="shared" si="12"/>
        <v>2.8182379045860111E-2</v>
      </c>
      <c r="W26" s="145"/>
      <c r="X26" s="46"/>
      <c r="Y26" s="38">
        <f t="shared" si="13"/>
        <v>2.8182379045860111E-2</v>
      </c>
      <c r="Z26" s="38">
        <f t="shared" si="5"/>
        <v>0.22879163679160644</v>
      </c>
      <c r="AA26" s="38"/>
      <c r="AB26" s="115">
        <f t="shared" si="6"/>
        <v>4.5607891338302915</v>
      </c>
      <c r="AC26" s="115"/>
      <c r="AD26" s="39">
        <f t="shared" si="7"/>
        <v>4.5999999999999996</v>
      </c>
      <c r="AL26" s="85"/>
      <c r="AM26" s="52"/>
    </row>
    <row r="27" spans="1:39" ht="13.5" customHeight="1" x14ac:dyDescent="0.25">
      <c r="A27" s="23">
        <f t="shared" si="17"/>
        <v>140</v>
      </c>
      <c r="B27" s="144">
        <f t="shared" si="9"/>
        <v>5.185185185185186</v>
      </c>
      <c r="C27" s="145"/>
      <c r="D27" s="144">
        <f t="shared" si="14"/>
        <v>1.0769230769230771</v>
      </c>
      <c r="E27" s="145"/>
      <c r="F27" s="144">
        <f t="shared" si="0"/>
        <v>5.3551851851851859</v>
      </c>
      <c r="G27" s="145"/>
      <c r="H27" s="46"/>
      <c r="I27" s="38">
        <f t="shared" si="15"/>
        <v>0.18673490559513103</v>
      </c>
      <c r="J27" s="144">
        <f t="shared" si="1"/>
        <v>1.246923076923077</v>
      </c>
      <c r="K27" s="145"/>
      <c r="L27" s="38">
        <f t="shared" si="16"/>
        <v>0.80197409006785925</v>
      </c>
      <c r="M27" s="144">
        <f t="shared" si="10"/>
        <v>5.3551851851851859</v>
      </c>
      <c r="N27" s="145"/>
      <c r="O27" s="144">
        <f t="shared" si="2"/>
        <v>5.3551851851851859</v>
      </c>
      <c r="P27" s="145"/>
      <c r="Q27" s="45">
        <f t="shared" si="3"/>
        <v>0</v>
      </c>
      <c r="R27" s="38">
        <f t="shared" si="4"/>
        <v>5.3551851851851859</v>
      </c>
      <c r="S27" s="38">
        <f t="shared" si="11"/>
        <v>0.18673490559513103</v>
      </c>
      <c r="T27" s="38">
        <v>0</v>
      </c>
      <c r="U27" s="38">
        <v>0</v>
      </c>
      <c r="V27" s="144">
        <f t="shared" si="12"/>
        <v>2.6297314841103266E-2</v>
      </c>
      <c r="W27" s="145"/>
      <c r="X27" s="46"/>
      <c r="Y27" s="38">
        <f t="shared" si="13"/>
        <v>2.6297314841103266E-2</v>
      </c>
      <c r="Z27" s="38">
        <f t="shared" si="5"/>
        <v>0.21303222043623429</v>
      </c>
      <c r="AA27" s="38"/>
      <c r="AB27" s="115">
        <f t="shared" si="6"/>
        <v>4.8841256019970194</v>
      </c>
      <c r="AC27" s="115"/>
      <c r="AD27" s="39">
        <f t="shared" si="7"/>
        <v>4.9000000000000004</v>
      </c>
      <c r="AL27" s="85"/>
      <c r="AM27" s="52"/>
    </row>
    <row r="28" spans="1:39" ht="13.5" customHeight="1" x14ac:dyDescent="0.25">
      <c r="A28" s="23">
        <f t="shared" si="17"/>
        <v>150</v>
      </c>
      <c r="B28" s="144">
        <f t="shared" si="9"/>
        <v>5.5555555555555554</v>
      </c>
      <c r="C28" s="145"/>
      <c r="D28" s="144">
        <f t="shared" si="14"/>
        <v>1.1538461538461537</v>
      </c>
      <c r="E28" s="145"/>
      <c r="F28" s="144">
        <f t="shared" si="0"/>
        <v>5.7255555555555553</v>
      </c>
      <c r="G28" s="145"/>
      <c r="H28" s="46"/>
      <c r="I28" s="38">
        <f t="shared" si="15"/>
        <v>0.17465554046186688</v>
      </c>
      <c r="J28" s="144">
        <f t="shared" si="1"/>
        <v>1.3238461538461537</v>
      </c>
      <c r="K28" s="145"/>
      <c r="L28" s="38">
        <f t="shared" si="16"/>
        <v>0.75537478210342834</v>
      </c>
      <c r="M28" s="144">
        <f t="shared" si="10"/>
        <v>5.7255555555555553</v>
      </c>
      <c r="N28" s="145"/>
      <c r="O28" s="144">
        <f t="shared" si="2"/>
        <v>5.7255555555555553</v>
      </c>
      <c r="P28" s="145"/>
      <c r="Q28" s="45">
        <f t="shared" si="3"/>
        <v>0</v>
      </c>
      <c r="R28" s="38">
        <f t="shared" si="4"/>
        <v>5.7255555555555553</v>
      </c>
      <c r="S28" s="38">
        <f t="shared" si="11"/>
        <v>0.17465554046186688</v>
      </c>
      <c r="T28" s="38">
        <v>0</v>
      </c>
      <c r="U28" s="38">
        <v>0</v>
      </c>
      <c r="V28" s="144">
        <f t="shared" si="12"/>
        <v>2.4648378274061671E-2</v>
      </c>
      <c r="W28" s="145"/>
      <c r="X28" s="46"/>
      <c r="Y28" s="38">
        <f t="shared" si="13"/>
        <v>2.4648378274061671E-2</v>
      </c>
      <c r="Z28" s="38">
        <f t="shared" si="5"/>
        <v>0.19930391873592854</v>
      </c>
      <c r="AA28" s="38"/>
      <c r="AB28" s="115">
        <f t="shared" si="6"/>
        <v>5.2074628092735535</v>
      </c>
      <c r="AC28" s="115"/>
      <c r="AD28" s="39">
        <f t="shared" si="7"/>
        <v>5.2</v>
      </c>
      <c r="AL28" s="85"/>
      <c r="AM28" s="52"/>
    </row>
    <row r="29" spans="1:39" ht="13.5" customHeight="1" x14ac:dyDescent="0.25">
      <c r="A29" s="23">
        <f>+A28+10</f>
        <v>160</v>
      </c>
      <c r="B29" s="144">
        <f t="shared" si="9"/>
        <v>5.9259259259259265</v>
      </c>
      <c r="C29" s="145"/>
      <c r="D29" s="144">
        <f t="shared" si="14"/>
        <v>1.2307692307692308</v>
      </c>
      <c r="E29" s="145"/>
      <c r="F29" s="144">
        <f t="shared" si="0"/>
        <v>6.0959259259259264</v>
      </c>
      <c r="G29" s="145"/>
      <c r="H29" s="46"/>
      <c r="I29" s="38">
        <f t="shared" si="15"/>
        <v>0.1640439880916216</v>
      </c>
      <c r="J29" s="144">
        <f t="shared" si="1"/>
        <v>1.4007692307692308</v>
      </c>
      <c r="K29" s="145"/>
      <c r="L29" s="38">
        <f t="shared" si="16"/>
        <v>0.71389346512904994</v>
      </c>
      <c r="M29" s="144">
        <f t="shared" si="10"/>
        <v>6.0959259259259264</v>
      </c>
      <c r="N29" s="145"/>
      <c r="O29" s="144">
        <f t="shared" si="2"/>
        <v>6.0959259259259264</v>
      </c>
      <c r="P29" s="145"/>
      <c r="Q29" s="45">
        <f t="shared" si="3"/>
        <v>0</v>
      </c>
      <c r="R29" s="38">
        <f t="shared" si="4"/>
        <v>6.0959259259259264</v>
      </c>
      <c r="S29" s="38">
        <f t="shared" si="11"/>
        <v>0.1640439880916216</v>
      </c>
      <c r="T29" s="38">
        <v>0</v>
      </c>
      <c r="U29" s="38">
        <v>0</v>
      </c>
      <c r="V29" s="144">
        <f t="shared" si="12"/>
        <v>2.3193857142403681E-2</v>
      </c>
      <c r="W29" s="145"/>
      <c r="X29" s="46"/>
      <c r="Y29" s="38">
        <f t="shared" si="13"/>
        <v>2.3193857142403681E-2</v>
      </c>
      <c r="Z29" s="38">
        <f t="shared" si="5"/>
        <v>0.18723784523402529</v>
      </c>
      <c r="AA29" s="38"/>
      <c r="AB29" s="115">
        <f t="shared" si="6"/>
        <v>5.5308006204628004</v>
      </c>
      <c r="AC29" s="115"/>
      <c r="AD29" s="39">
        <f t="shared" si="7"/>
        <v>5.5</v>
      </c>
      <c r="AL29" s="85"/>
      <c r="AM29" s="52"/>
    </row>
    <row r="30" spans="1:39" ht="13.5" customHeight="1" x14ac:dyDescent="0.25">
      <c r="A30" s="23">
        <f t="shared" si="17"/>
        <v>170</v>
      </c>
      <c r="B30" s="144">
        <f t="shared" si="9"/>
        <v>6.2962962962962967</v>
      </c>
      <c r="C30" s="145"/>
      <c r="D30" s="144">
        <f t="shared" si="14"/>
        <v>1.3076923076923077</v>
      </c>
      <c r="E30" s="145"/>
      <c r="F30" s="144">
        <f t="shared" si="0"/>
        <v>6.4662962962962967</v>
      </c>
      <c r="G30" s="145"/>
      <c r="H30" s="46"/>
      <c r="I30" s="38">
        <f t="shared" si="15"/>
        <v>0.15464803253336387</v>
      </c>
      <c r="J30" s="144">
        <f t="shared" si="1"/>
        <v>1.4776923076923079</v>
      </c>
      <c r="K30" s="145"/>
      <c r="L30" s="38">
        <f t="shared" si="16"/>
        <v>0.67673086933888593</v>
      </c>
      <c r="M30" s="144">
        <f t="shared" si="10"/>
        <v>6.4662962962962967</v>
      </c>
      <c r="N30" s="145"/>
      <c r="O30" s="144">
        <f t="shared" si="2"/>
        <v>6.4662962962962967</v>
      </c>
      <c r="P30" s="145"/>
      <c r="Q30" s="45">
        <f t="shared" si="3"/>
        <v>0</v>
      </c>
      <c r="R30" s="38">
        <f t="shared" si="4"/>
        <v>6.4662962962962967</v>
      </c>
      <c r="S30" s="38">
        <f t="shared" si="11"/>
        <v>0.15464803253336387</v>
      </c>
      <c r="T30" s="38">
        <v>0</v>
      </c>
      <c r="U30" s="38">
        <v>0</v>
      </c>
      <c r="V30" s="144">
        <f t="shared" si="12"/>
        <v>2.1901309229458838E-2</v>
      </c>
      <c r="W30" s="145"/>
      <c r="X30" s="46"/>
      <c r="Y30" s="38">
        <f t="shared" si="13"/>
        <v>2.1901309229458838E-2</v>
      </c>
      <c r="Z30" s="38">
        <f t="shared" si="5"/>
        <v>0.17654934176282272</v>
      </c>
      <c r="AA30" s="38"/>
      <c r="AB30" s="115">
        <f t="shared" si="6"/>
        <v>5.8541389314461743</v>
      </c>
      <c r="AC30" s="115"/>
      <c r="AD30" s="39">
        <f t="shared" si="7"/>
        <v>5.9</v>
      </c>
      <c r="AL30" s="85"/>
      <c r="AM30" s="52"/>
    </row>
    <row r="31" spans="1:39" ht="13.5" customHeight="1" x14ac:dyDescent="0.25">
      <c r="A31" s="23">
        <f t="shared" si="17"/>
        <v>180</v>
      </c>
      <c r="B31" s="144">
        <f t="shared" si="9"/>
        <v>6.6666666666666661</v>
      </c>
      <c r="C31" s="145"/>
      <c r="D31" s="144">
        <f t="shared" si="14"/>
        <v>1.3846153846153846</v>
      </c>
      <c r="E31" s="145"/>
      <c r="F31" s="144">
        <f t="shared" si="0"/>
        <v>6.836666666666666</v>
      </c>
      <c r="G31" s="145"/>
      <c r="H31" s="46"/>
      <c r="I31" s="38">
        <f t="shared" si="15"/>
        <v>0.14627011214041932</v>
      </c>
      <c r="J31" s="144">
        <f t="shared" si="1"/>
        <v>1.5546153846153845</v>
      </c>
      <c r="K31" s="145"/>
      <c r="L31" s="38">
        <f t="shared" si="16"/>
        <v>0.64324591786244434</v>
      </c>
      <c r="M31" s="144">
        <f t="shared" si="10"/>
        <v>6.836666666666666</v>
      </c>
      <c r="N31" s="145"/>
      <c r="O31" s="144">
        <f t="shared" si="2"/>
        <v>6.836666666666666</v>
      </c>
      <c r="P31" s="145"/>
      <c r="Q31" s="45">
        <f t="shared" si="3"/>
        <v>0</v>
      </c>
      <c r="R31" s="38">
        <f t="shared" si="4"/>
        <v>6.836666666666666</v>
      </c>
      <c r="S31" s="38">
        <f t="shared" si="11"/>
        <v>0.14627011214041932</v>
      </c>
      <c r="T31" s="38">
        <v>0</v>
      </c>
      <c r="U31" s="38">
        <v>0</v>
      </c>
      <c r="V31" s="144">
        <f t="shared" si="12"/>
        <v>2.0745124769312919E-2</v>
      </c>
      <c r="W31" s="145"/>
      <c r="X31" s="46"/>
      <c r="Y31" s="38">
        <f t="shared" si="13"/>
        <v>2.0745124769312919E-2</v>
      </c>
      <c r="Z31" s="38">
        <f t="shared" si="5"/>
        <v>0.16701523690973225</v>
      </c>
      <c r="AA31" s="38"/>
      <c r="AB31" s="115">
        <f t="shared" si="6"/>
        <v>6.1774776607386803</v>
      </c>
      <c r="AC31" s="115"/>
      <c r="AD31" s="39">
        <f t="shared" si="7"/>
        <v>6.2</v>
      </c>
      <c r="AL31" s="85"/>
      <c r="AM31" s="52"/>
    </row>
    <row r="32" spans="1:39" ht="13.5" customHeight="1" x14ac:dyDescent="0.25">
      <c r="A32" s="23">
        <f t="shared" si="17"/>
        <v>190</v>
      </c>
      <c r="B32" s="144">
        <f t="shared" si="9"/>
        <v>7.0370370370370372</v>
      </c>
      <c r="C32" s="145"/>
      <c r="D32" s="144">
        <f t="shared" si="14"/>
        <v>1.4615384615384615</v>
      </c>
      <c r="E32" s="145"/>
      <c r="F32" s="144">
        <f t="shared" si="0"/>
        <v>7.2070370370370371</v>
      </c>
      <c r="G32" s="145"/>
      <c r="H32" s="46"/>
      <c r="I32" s="38">
        <f t="shared" si="15"/>
        <v>0.13875327611901947</v>
      </c>
      <c r="J32" s="144">
        <f t="shared" si="1"/>
        <v>1.6315384615384616</v>
      </c>
      <c r="K32" s="145"/>
      <c r="L32" s="38">
        <f t="shared" si="16"/>
        <v>0.61291843470061291</v>
      </c>
      <c r="M32" s="144">
        <f t="shared" si="10"/>
        <v>7.2070370370370371</v>
      </c>
      <c r="N32" s="145"/>
      <c r="O32" s="144">
        <f t="shared" si="2"/>
        <v>7.2070370370370371</v>
      </c>
      <c r="P32" s="145"/>
      <c r="Q32" s="45">
        <f t="shared" si="3"/>
        <v>0</v>
      </c>
      <c r="R32" s="38">
        <f t="shared" si="4"/>
        <v>7.2070370370370371</v>
      </c>
      <c r="S32" s="38">
        <f t="shared" si="11"/>
        <v>0.13875327611901947</v>
      </c>
      <c r="T32" s="38">
        <v>0</v>
      </c>
      <c r="U32" s="38">
        <v>0</v>
      </c>
      <c r="V32" s="144">
        <f t="shared" si="12"/>
        <v>1.9704819024576669E-2</v>
      </c>
      <c r="W32" s="145"/>
      <c r="X32" s="46"/>
      <c r="Y32" s="38">
        <f t="shared" si="13"/>
        <v>1.9704819024576669E-2</v>
      </c>
      <c r="Z32" s="38">
        <f t="shared" si="5"/>
        <v>0.15845809514359613</v>
      </c>
      <c r="AA32" s="38"/>
      <c r="AB32" s="115">
        <f t="shared" si="6"/>
        <v>6.5008167436557356</v>
      </c>
      <c r="AC32" s="115"/>
      <c r="AD32" s="39">
        <f t="shared" si="7"/>
        <v>6.5</v>
      </c>
      <c r="AL32" s="85"/>
      <c r="AM32" s="52"/>
    </row>
    <row r="33" spans="1:39" ht="13.5" customHeight="1" x14ac:dyDescent="0.25">
      <c r="A33" s="23">
        <f t="shared" si="17"/>
        <v>200</v>
      </c>
      <c r="B33" s="144">
        <f t="shared" si="9"/>
        <v>7.4074074074074083</v>
      </c>
      <c r="C33" s="145"/>
      <c r="D33" s="144">
        <f t="shared" si="14"/>
        <v>1.5384615384615385</v>
      </c>
      <c r="E33" s="145"/>
      <c r="F33" s="144">
        <f t="shared" si="0"/>
        <v>7.5774074074074083</v>
      </c>
      <c r="G33" s="145"/>
      <c r="H33" s="46"/>
      <c r="I33" s="38">
        <f t="shared" si="15"/>
        <v>0.13197125959235542</v>
      </c>
      <c r="J33" s="144">
        <f t="shared" si="1"/>
        <v>1.7084615384615387</v>
      </c>
      <c r="K33" s="145"/>
      <c r="L33" s="38">
        <f t="shared" si="16"/>
        <v>0.58532192705988284</v>
      </c>
      <c r="M33" s="144">
        <f t="shared" si="10"/>
        <v>7.5774074074074083</v>
      </c>
      <c r="N33" s="145"/>
      <c r="O33" s="144">
        <f t="shared" si="2"/>
        <v>7.5774074074074083</v>
      </c>
      <c r="P33" s="145"/>
      <c r="Q33" s="45">
        <f t="shared" si="3"/>
        <v>0</v>
      </c>
      <c r="R33" s="38">
        <f t="shared" si="4"/>
        <v>7.5774074074074083</v>
      </c>
      <c r="S33" s="38">
        <f t="shared" si="11"/>
        <v>0.13197125959235542</v>
      </c>
      <c r="T33" s="38">
        <v>0</v>
      </c>
      <c r="U33" s="38">
        <v>0</v>
      </c>
      <c r="V33" s="144">
        <f t="shared" si="12"/>
        <v>1.8763812160017206E-2</v>
      </c>
      <c r="W33" s="145"/>
      <c r="X33" s="46"/>
      <c r="Y33" s="38">
        <f t="shared" si="13"/>
        <v>1.8763812160017206E-2</v>
      </c>
      <c r="Z33" s="38">
        <f t="shared" si="5"/>
        <v>0.15073507175237263</v>
      </c>
      <c r="AA33" s="38"/>
      <c r="AB33" s="115">
        <f t="shared" si="6"/>
        <v>6.8241561281955576</v>
      </c>
      <c r="AC33" s="115"/>
      <c r="AD33" s="39">
        <f t="shared" si="7"/>
        <v>6.8</v>
      </c>
      <c r="AL33" s="85"/>
      <c r="AM33" s="52"/>
    </row>
    <row r="34" spans="1:39" ht="13.5" customHeight="1" x14ac:dyDescent="0.25">
      <c r="A34" s="23">
        <f t="shared" si="17"/>
        <v>210</v>
      </c>
      <c r="B34" s="144">
        <f t="shared" si="9"/>
        <v>7.7777777777777777</v>
      </c>
      <c r="C34" s="145"/>
      <c r="D34" s="144">
        <f t="shared" si="14"/>
        <v>1.6153846153846152</v>
      </c>
      <c r="E34" s="145"/>
      <c r="F34" s="144">
        <f t="shared" si="0"/>
        <v>7.9477777777777776</v>
      </c>
      <c r="G34" s="145"/>
      <c r="H34" s="46"/>
      <c r="I34" s="38">
        <f t="shared" si="15"/>
        <v>0.12582133370613729</v>
      </c>
      <c r="J34" s="144">
        <f t="shared" si="1"/>
        <v>1.7853846153846153</v>
      </c>
      <c r="K34" s="145"/>
      <c r="L34" s="38">
        <f t="shared" si="16"/>
        <v>0.56010340370529943</v>
      </c>
      <c r="M34" s="144">
        <f t="shared" si="10"/>
        <v>7.9477777777777767</v>
      </c>
      <c r="N34" s="145"/>
      <c r="O34" s="144">
        <f t="shared" si="2"/>
        <v>7.9477777777777776</v>
      </c>
      <c r="P34" s="145"/>
      <c r="Q34" s="45">
        <f t="shared" si="3"/>
        <v>0</v>
      </c>
      <c r="R34" s="38">
        <f t="shared" si="4"/>
        <v>7.9477777777777776</v>
      </c>
      <c r="S34" s="38">
        <f t="shared" si="11"/>
        <v>0.12582133370613729</v>
      </c>
      <c r="T34" s="38">
        <v>0</v>
      </c>
      <c r="U34" s="38">
        <v>0</v>
      </c>
      <c r="V34" s="144">
        <f t="shared" si="12"/>
        <v>1.790854163399775E-2</v>
      </c>
      <c r="W34" s="145"/>
      <c r="X34" s="46"/>
      <c r="Y34" s="38">
        <f t="shared" si="13"/>
        <v>1.790854163399775E-2</v>
      </c>
      <c r="Z34" s="38">
        <f t="shared" si="5"/>
        <v>0.14372987534013504</v>
      </c>
      <c r="AA34" s="38"/>
      <c r="AB34" s="115">
        <f t="shared" si="6"/>
        <v>7.1474957720759997</v>
      </c>
      <c r="AC34" s="115"/>
      <c r="AD34" s="39">
        <f t="shared" si="7"/>
        <v>7.1</v>
      </c>
      <c r="AL34" s="85"/>
      <c r="AM34" s="52"/>
    </row>
    <row r="35" spans="1:39" ht="13.5" customHeight="1" x14ac:dyDescent="0.25">
      <c r="A35" s="41">
        <f t="shared" si="17"/>
        <v>220</v>
      </c>
      <c r="B35" s="136">
        <f t="shared" si="9"/>
        <v>8.1481481481481488</v>
      </c>
      <c r="C35" s="137"/>
      <c r="D35" s="136">
        <f t="shared" si="14"/>
        <v>1.6923076923076923</v>
      </c>
      <c r="E35" s="137"/>
      <c r="F35" s="144">
        <f t="shared" si="0"/>
        <v>8.3181481481481487</v>
      </c>
      <c r="G35" s="145"/>
      <c r="H35" s="47"/>
      <c r="I35" s="48">
        <f t="shared" si="15"/>
        <v>0.12021906585333274</v>
      </c>
      <c r="J35" s="144">
        <f t="shared" si="1"/>
        <v>1.8623076923076924</v>
      </c>
      <c r="K35" s="145"/>
      <c r="L35" s="48">
        <f t="shared" si="16"/>
        <v>0.53696819496075998</v>
      </c>
      <c r="M35" s="136">
        <f t="shared" si="10"/>
        <v>8.3181481481481487</v>
      </c>
      <c r="N35" s="137"/>
      <c r="O35" s="144">
        <f t="shared" si="2"/>
        <v>8.3181481481481487</v>
      </c>
      <c r="P35" s="145"/>
      <c r="Q35" s="45">
        <f t="shared" si="3"/>
        <v>0</v>
      </c>
      <c r="R35" s="38">
        <f t="shared" si="4"/>
        <v>8.3181481481481487</v>
      </c>
      <c r="S35" s="48">
        <f t="shared" si="11"/>
        <v>0.12021906585333274</v>
      </c>
      <c r="T35" s="48">
        <v>0</v>
      </c>
      <c r="U35" s="48">
        <v>0</v>
      </c>
      <c r="V35" s="136">
        <f t="shared" si="12"/>
        <v>1.712780603984889E-2</v>
      </c>
      <c r="W35" s="137"/>
      <c r="X35" s="47"/>
      <c r="Y35" s="48">
        <f t="shared" si="13"/>
        <v>1.712780603984889E-2</v>
      </c>
      <c r="Z35" s="48">
        <f t="shared" si="5"/>
        <v>0.13734687189318162</v>
      </c>
      <c r="AA35" s="38"/>
      <c r="AB35" s="115">
        <f t="shared" si="6"/>
        <v>7.4708356405650589</v>
      </c>
      <c r="AC35" s="115"/>
      <c r="AD35" s="39">
        <f t="shared" si="7"/>
        <v>7.5</v>
      </c>
      <c r="AL35" s="85"/>
      <c r="AM35" s="52"/>
    </row>
    <row r="36" spans="1:39" x14ac:dyDescent="0.25">
      <c r="A36" s="138" t="s">
        <v>71</v>
      </c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1"/>
    </row>
    <row r="37" spans="1:39" x14ac:dyDescent="0.25">
      <c r="A37" s="139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3"/>
    </row>
    <row r="38" spans="1:39" x14ac:dyDescent="0.25">
      <c r="A38" s="139"/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3"/>
    </row>
  </sheetData>
  <sheetProtection selectLockedCells="1"/>
  <mergeCells count="204">
    <mergeCell ref="A8:A16"/>
    <mergeCell ref="B8:C12"/>
    <mergeCell ref="D8:E12"/>
    <mergeCell ref="F8:H12"/>
    <mergeCell ref="I8:I12"/>
    <mergeCell ref="J8:K12"/>
    <mergeCell ref="A1:G1"/>
    <mergeCell ref="I1:P2"/>
    <mergeCell ref="Q1:R2"/>
    <mergeCell ref="B7:C7"/>
    <mergeCell ref="F7:H7"/>
    <mergeCell ref="J7:K7"/>
    <mergeCell ref="M7:N7"/>
    <mergeCell ref="O7:P7"/>
    <mergeCell ref="S1:AD2"/>
    <mergeCell ref="F2:G2"/>
    <mergeCell ref="A3:G3"/>
    <mergeCell ref="H3:K3"/>
    <mergeCell ref="M3:R3"/>
    <mergeCell ref="S3:AD5"/>
    <mergeCell ref="A4:G4"/>
    <mergeCell ref="H4:K4"/>
    <mergeCell ref="M4:R4"/>
    <mergeCell ref="A5:I5"/>
    <mergeCell ref="J5:K5"/>
    <mergeCell ref="M5:R5"/>
    <mergeCell ref="V7:X7"/>
    <mergeCell ref="Z8:Z12"/>
    <mergeCell ref="B6:C6"/>
    <mergeCell ref="D6:E6"/>
    <mergeCell ref="F6:H6"/>
    <mergeCell ref="J6:K6"/>
    <mergeCell ref="M6:N6"/>
    <mergeCell ref="M8:M11"/>
    <mergeCell ref="N8:N11"/>
    <mergeCell ref="O8:P12"/>
    <mergeCell ref="Q8:Q14"/>
    <mergeCell ref="R8:R14"/>
    <mergeCell ref="Z13:Z16"/>
    <mergeCell ref="V8:W13"/>
    <mergeCell ref="X8:X13"/>
    <mergeCell ref="Y8:Y12"/>
    <mergeCell ref="U13:U16"/>
    <mergeCell ref="Y13:Y16"/>
    <mergeCell ref="L8:L12"/>
    <mergeCell ref="AD13:AD16"/>
    <mergeCell ref="O6:P6"/>
    <mergeCell ref="V6:X6"/>
    <mergeCell ref="AA6:AC6"/>
    <mergeCell ref="AA7:AC7"/>
    <mergeCell ref="AA8:AC12"/>
    <mergeCell ref="B14:C16"/>
    <mergeCell ref="D14:E16"/>
    <mergeCell ref="M15:N16"/>
    <mergeCell ref="Q15:Q16"/>
    <mergeCell ref="R15:R16"/>
    <mergeCell ref="S15:S16"/>
    <mergeCell ref="G16:H16"/>
    <mergeCell ref="AD8:AD12"/>
    <mergeCell ref="M12:M14"/>
    <mergeCell ref="N12:N14"/>
    <mergeCell ref="I13:I16"/>
    <mergeCell ref="J13:K15"/>
    <mergeCell ref="L13:L16"/>
    <mergeCell ref="O13:P13"/>
    <mergeCell ref="T13:T16"/>
    <mergeCell ref="S8:S14"/>
    <mergeCell ref="T8:T12"/>
    <mergeCell ref="U8:U12"/>
    <mergeCell ref="V18:W18"/>
    <mergeCell ref="B18:C18"/>
    <mergeCell ref="D18:E18"/>
    <mergeCell ref="F18:G18"/>
    <mergeCell ref="J18:K18"/>
    <mergeCell ref="M18:N18"/>
    <mergeCell ref="O18:P18"/>
    <mergeCell ref="V17:W17"/>
    <mergeCell ref="B17:C17"/>
    <mergeCell ref="D17:E17"/>
    <mergeCell ref="F17:G17"/>
    <mergeCell ref="J17:K17"/>
    <mergeCell ref="M17:N17"/>
    <mergeCell ref="O17:P17"/>
    <mergeCell ref="V20:W20"/>
    <mergeCell ref="B20:C20"/>
    <mergeCell ref="D20:E20"/>
    <mergeCell ref="F20:G20"/>
    <mergeCell ref="J20:K20"/>
    <mergeCell ref="M20:N20"/>
    <mergeCell ref="O20:P20"/>
    <mergeCell ref="V19:W19"/>
    <mergeCell ref="B19:C19"/>
    <mergeCell ref="D19:E19"/>
    <mergeCell ref="F19:G19"/>
    <mergeCell ref="J19:K19"/>
    <mergeCell ref="M19:N19"/>
    <mergeCell ref="O19:P19"/>
    <mergeCell ref="V22:W22"/>
    <mergeCell ref="B22:C22"/>
    <mergeCell ref="D22:E22"/>
    <mergeCell ref="F22:G22"/>
    <mergeCell ref="J22:K22"/>
    <mergeCell ref="M22:N22"/>
    <mergeCell ref="O22:P22"/>
    <mergeCell ref="V21:W21"/>
    <mergeCell ref="B21:C21"/>
    <mergeCell ref="D21:E21"/>
    <mergeCell ref="F21:G21"/>
    <mergeCell ref="J21:K21"/>
    <mergeCell ref="M21:N21"/>
    <mergeCell ref="O21:P21"/>
    <mergeCell ref="V23:W23"/>
    <mergeCell ref="B24:C24"/>
    <mergeCell ref="D24:E24"/>
    <mergeCell ref="F24:G24"/>
    <mergeCell ref="J24:K24"/>
    <mergeCell ref="M24:N24"/>
    <mergeCell ref="O24:P24"/>
    <mergeCell ref="V24:W24"/>
    <mergeCell ref="B23:C23"/>
    <mergeCell ref="D23:E23"/>
    <mergeCell ref="F23:G23"/>
    <mergeCell ref="J23:K23"/>
    <mergeCell ref="M23:N23"/>
    <mergeCell ref="O23:P23"/>
    <mergeCell ref="V25:W25"/>
    <mergeCell ref="B26:C26"/>
    <mergeCell ref="D26:E26"/>
    <mergeCell ref="F26:G26"/>
    <mergeCell ref="J26:K26"/>
    <mergeCell ref="M26:N26"/>
    <mergeCell ref="O26:P26"/>
    <mergeCell ref="V26:W26"/>
    <mergeCell ref="B25:C25"/>
    <mergeCell ref="D25:E25"/>
    <mergeCell ref="F25:G25"/>
    <mergeCell ref="J25:K25"/>
    <mergeCell ref="M25:N25"/>
    <mergeCell ref="O25:P25"/>
    <mergeCell ref="V27:W27"/>
    <mergeCell ref="B28:C28"/>
    <mergeCell ref="D28:E28"/>
    <mergeCell ref="F28:G28"/>
    <mergeCell ref="J28:K28"/>
    <mergeCell ref="M28:N28"/>
    <mergeCell ref="O28:P28"/>
    <mergeCell ref="V28:W28"/>
    <mergeCell ref="B27:C27"/>
    <mergeCell ref="D27:E27"/>
    <mergeCell ref="F27:G27"/>
    <mergeCell ref="J27:K27"/>
    <mergeCell ref="M27:N27"/>
    <mergeCell ref="O27:P27"/>
    <mergeCell ref="V29:W29"/>
    <mergeCell ref="B30:C30"/>
    <mergeCell ref="D30:E30"/>
    <mergeCell ref="F30:G30"/>
    <mergeCell ref="J30:K30"/>
    <mergeCell ref="M30:N30"/>
    <mergeCell ref="O30:P30"/>
    <mergeCell ref="V30:W30"/>
    <mergeCell ref="B29:C29"/>
    <mergeCell ref="D29:E29"/>
    <mergeCell ref="F29:G29"/>
    <mergeCell ref="J29:K29"/>
    <mergeCell ref="M29:N29"/>
    <mergeCell ref="O29:P29"/>
    <mergeCell ref="V31:W31"/>
    <mergeCell ref="B32:C32"/>
    <mergeCell ref="D32:E32"/>
    <mergeCell ref="F32:G32"/>
    <mergeCell ref="J32:K32"/>
    <mergeCell ref="M32:N32"/>
    <mergeCell ref="O32:P32"/>
    <mergeCell ref="V32:W32"/>
    <mergeCell ref="B31:C31"/>
    <mergeCell ref="D31:E31"/>
    <mergeCell ref="F31:G31"/>
    <mergeCell ref="J31:K31"/>
    <mergeCell ref="M31:N31"/>
    <mergeCell ref="O31:P31"/>
    <mergeCell ref="V33:W33"/>
    <mergeCell ref="B34:C34"/>
    <mergeCell ref="D34:E34"/>
    <mergeCell ref="F34:G34"/>
    <mergeCell ref="J34:K34"/>
    <mergeCell ref="M34:N34"/>
    <mergeCell ref="O34:P34"/>
    <mergeCell ref="V34:W34"/>
    <mergeCell ref="B33:C33"/>
    <mergeCell ref="D33:E33"/>
    <mergeCell ref="F33:G33"/>
    <mergeCell ref="J33:K33"/>
    <mergeCell ref="M33:N33"/>
    <mergeCell ref="O33:P33"/>
    <mergeCell ref="V35:W35"/>
    <mergeCell ref="A36:A38"/>
    <mergeCell ref="B36:AD38"/>
    <mergeCell ref="B35:C35"/>
    <mergeCell ref="D35:E35"/>
    <mergeCell ref="F35:G35"/>
    <mergeCell ref="J35:K35"/>
    <mergeCell ref="M35:N35"/>
    <mergeCell ref="O35:P35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 sizeWithCells="1">
                  <from>
                    <xdr:col>3</xdr:col>
                    <xdr:colOff>9525</xdr:colOff>
                    <xdr:row>0</xdr:row>
                    <xdr:rowOff>0</xdr:rowOff>
                  </from>
                  <to>
                    <xdr:col>7</xdr:col>
                    <xdr:colOff>552450</xdr:colOff>
                    <xdr:row>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Drop Down 2">
              <controlPr defaultSize="0" autoLine="0" autoPict="0">
                <anchor moveWithCells="1" sizeWithCells="1">
                  <from>
                    <xdr:col>3</xdr:col>
                    <xdr:colOff>9525</xdr:colOff>
                    <xdr:row>2</xdr:row>
                    <xdr:rowOff>0</xdr:rowOff>
                  </from>
                  <to>
                    <xdr:col>7</xdr:col>
                    <xdr:colOff>19050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Drop Down 3">
              <controlPr defaultSize="0" autoLine="0" autoPict="0">
                <anchor moveWithCells="1" sizeWithCells="1">
                  <from>
                    <xdr:col>8</xdr:col>
                    <xdr:colOff>133350</xdr:colOff>
                    <xdr:row>3</xdr:row>
                    <xdr:rowOff>219075</xdr:rowOff>
                  </from>
                  <to>
                    <xdr:col>9</xdr:col>
                    <xdr:colOff>19050</xdr:colOff>
                    <xdr:row>4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1A882-DFC4-4E72-B9CF-54A128CCC684}">
  <dimension ref="A1:AP38"/>
  <sheetViews>
    <sheetView zoomScaleNormal="100" workbookViewId="0">
      <selection activeCell="Q1" sqref="Q1:R2"/>
    </sheetView>
  </sheetViews>
  <sheetFormatPr defaultColWidth="8.7109375" defaultRowHeight="15" x14ac:dyDescent="0.25"/>
  <cols>
    <col min="1" max="1" width="4.5703125" style="23" customWidth="1"/>
    <col min="2" max="2" width="4.140625" style="23" customWidth="1"/>
    <col min="3" max="3" width="9.140625" style="23" customWidth="1"/>
    <col min="4" max="4" width="4.42578125" style="23" customWidth="1"/>
    <col min="5" max="5" width="7.85546875" style="23" customWidth="1"/>
    <col min="6" max="6" width="4.140625" style="23" customWidth="1"/>
    <col min="7" max="7" width="4.42578125" style="23" customWidth="1"/>
    <col min="8" max="8" width="8.28515625" style="23" bestFit="1" customWidth="1"/>
    <col min="9" max="9" width="8.7109375" style="23"/>
    <col min="10" max="10" width="4.140625" style="23" customWidth="1"/>
    <col min="11" max="11" width="8.42578125" style="23" customWidth="1"/>
    <col min="12" max="12" width="7.7109375" style="23" customWidth="1"/>
    <col min="13" max="13" width="9.140625" style="23" customWidth="1"/>
    <col min="14" max="14" width="3.85546875" style="23" customWidth="1"/>
    <col min="15" max="15" width="7.140625" style="23" customWidth="1"/>
    <col min="16" max="16" width="4.5703125" style="23" customWidth="1"/>
    <col min="17" max="17" width="8.140625" style="23" customWidth="1"/>
    <col min="18" max="18" width="8.7109375" style="23"/>
    <col min="19" max="21" width="7" style="23" customWidth="1"/>
    <col min="22" max="22" width="4.140625" style="23" customWidth="1"/>
    <col min="23" max="23" width="9.28515625" style="23" customWidth="1"/>
    <col min="24" max="24" width="8.28515625" style="23" customWidth="1"/>
    <col min="25" max="26" width="7.140625" style="23" customWidth="1"/>
    <col min="27" max="27" width="5.42578125" style="23" customWidth="1"/>
    <col min="28" max="28" width="5.85546875" style="23" customWidth="1"/>
    <col min="29" max="29" width="6.28515625" style="23" customWidth="1"/>
    <col min="30" max="30" width="7.28515625" style="23" customWidth="1"/>
    <col min="31" max="31" width="8.7109375" style="23" hidden="1" customWidth="1"/>
    <col min="32" max="32" width="31.5703125" style="23" hidden="1" customWidth="1"/>
    <col min="33" max="36" width="8.7109375" style="23" hidden="1" customWidth="1"/>
    <col min="37" max="16384" width="8.7109375" style="23"/>
  </cols>
  <sheetData>
    <row r="1" spans="1:42" s="21" customFormat="1" ht="17.45" customHeight="1" x14ac:dyDescent="0.25">
      <c r="A1" s="226" t="s">
        <v>72</v>
      </c>
      <c r="B1" s="226"/>
      <c r="C1" s="226"/>
      <c r="D1" s="226"/>
      <c r="E1" s="226"/>
      <c r="F1" s="226"/>
      <c r="G1" s="226"/>
      <c r="H1" s="20"/>
      <c r="I1" s="240" t="s">
        <v>127</v>
      </c>
      <c r="J1" s="240"/>
      <c r="K1" s="240"/>
      <c r="L1" s="240"/>
      <c r="M1" s="240"/>
      <c r="N1" s="240"/>
      <c r="O1" s="240"/>
      <c r="P1" s="240"/>
      <c r="Q1" s="241" t="s">
        <v>101</v>
      </c>
      <c r="R1" s="241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17">
        <v>1</v>
      </c>
      <c r="AF1" s="17" t="s">
        <v>69</v>
      </c>
      <c r="AG1" s="21">
        <v>1</v>
      </c>
      <c r="AH1" s="22">
        <v>0.17</v>
      </c>
      <c r="AI1" s="22">
        <v>0</v>
      </c>
      <c r="AJ1" s="22">
        <v>0.15</v>
      </c>
      <c r="AL1" s="55"/>
      <c r="AO1" s="51"/>
      <c r="AP1" s="51"/>
    </row>
    <row r="2" spans="1:42" s="21" customFormat="1" ht="40.5" customHeight="1" x14ac:dyDescent="0.25">
      <c r="A2" s="43" t="s">
        <v>74</v>
      </c>
      <c r="B2" s="20"/>
      <c r="C2" s="20"/>
      <c r="D2" s="20"/>
      <c r="E2" s="20"/>
      <c r="F2" s="224">
        <v>2.7E-2</v>
      </c>
      <c r="G2" s="225"/>
      <c r="H2" s="91" t="s">
        <v>100</v>
      </c>
      <c r="I2" s="240"/>
      <c r="J2" s="240"/>
      <c r="K2" s="240"/>
      <c r="L2" s="240"/>
      <c r="M2" s="240"/>
      <c r="N2" s="240"/>
      <c r="O2" s="240"/>
      <c r="P2" s="240"/>
      <c r="Q2" s="241"/>
      <c r="R2" s="241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F2" s="17" t="s">
        <v>70</v>
      </c>
      <c r="AG2" s="21">
        <f>+AG1+1</f>
        <v>2</v>
      </c>
      <c r="AH2" s="22">
        <v>0.17</v>
      </c>
      <c r="AI2" s="22">
        <v>0.17</v>
      </c>
      <c r="AJ2" s="22">
        <v>0.15</v>
      </c>
      <c r="AL2" s="67" t="s">
        <v>84</v>
      </c>
      <c r="AM2" s="49"/>
      <c r="AN2" s="70"/>
      <c r="AO2" s="68" t="s">
        <v>76</v>
      </c>
      <c r="AP2" s="68" t="s">
        <v>77</v>
      </c>
    </row>
    <row r="3" spans="1:42" s="21" customFormat="1" ht="17.45" customHeight="1" x14ac:dyDescent="0.25">
      <c r="A3" s="226" t="s">
        <v>73</v>
      </c>
      <c r="B3" s="226"/>
      <c r="C3" s="226"/>
      <c r="D3" s="226"/>
      <c r="E3" s="226"/>
      <c r="F3" s="226"/>
      <c r="G3" s="226"/>
      <c r="H3" s="227"/>
      <c r="I3" s="227"/>
      <c r="J3" s="227"/>
      <c r="K3" s="227"/>
      <c r="L3" s="42">
        <v>5</v>
      </c>
      <c r="M3" s="228" t="str">
        <f>+IF(AE5=1,IF(ISBLANK(L3),"","geen waarde invullen"),IF(AND(AE5&gt;1,L3=0),"aantal bevestigers invullen","stuks/m²"))</f>
        <v>stuks/m²</v>
      </c>
      <c r="N3" s="228"/>
      <c r="O3" s="228"/>
      <c r="P3" s="228"/>
      <c r="Q3" s="228"/>
      <c r="R3" s="228"/>
      <c r="S3" s="229" t="s">
        <v>123</v>
      </c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F3" s="17" t="s">
        <v>46</v>
      </c>
      <c r="AG3" s="21">
        <f>+AG2+1</f>
        <v>3</v>
      </c>
      <c r="AH3" s="22">
        <v>0.13</v>
      </c>
      <c r="AI3" s="22">
        <v>0.04</v>
      </c>
      <c r="AJ3" s="22">
        <v>0.36</v>
      </c>
      <c r="AL3" s="59" t="s">
        <v>99</v>
      </c>
      <c r="AM3" s="59" t="s">
        <v>96</v>
      </c>
      <c r="AN3" s="71">
        <v>2.7E-2</v>
      </c>
      <c r="AO3" s="50"/>
      <c r="AP3" s="50"/>
    </row>
    <row r="4" spans="1:42" s="21" customFormat="1" ht="17.45" customHeight="1" x14ac:dyDescent="0.25">
      <c r="A4" s="232"/>
      <c r="B4" s="232"/>
      <c r="C4" s="232"/>
      <c r="D4" s="232"/>
      <c r="E4" s="232"/>
      <c r="F4" s="232"/>
      <c r="G4" s="232"/>
      <c r="H4" s="227" t="str">
        <f>+IF(AE5&gt;1,"diameter bevestiger","")</f>
        <v>diameter bevestiger</v>
      </c>
      <c r="I4" s="227"/>
      <c r="J4" s="227"/>
      <c r="K4" s="227"/>
      <c r="L4" s="42">
        <v>5</v>
      </c>
      <c r="M4" s="233" t="str">
        <f>+IF(AE5=1,IF(ISBLANK(L4),"","geen waarde invullen"),IF(AND(AE5&gt;1,L4=0),"diameter bevestigers invullen","mm"))</f>
        <v>mm</v>
      </c>
      <c r="N4" s="233"/>
      <c r="O4" s="233"/>
      <c r="P4" s="233"/>
      <c r="Q4" s="233"/>
      <c r="R4" s="233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F4" s="17" t="s">
        <v>47</v>
      </c>
      <c r="AG4" s="21">
        <f>+AG3+1</f>
        <v>4</v>
      </c>
      <c r="AH4" s="22">
        <v>0.1</v>
      </c>
      <c r="AI4" s="22">
        <v>0.04</v>
      </c>
      <c r="AJ4" s="22">
        <v>0.22</v>
      </c>
      <c r="AM4" s="21" t="s">
        <v>75</v>
      </c>
      <c r="AN4" s="50"/>
      <c r="AO4" s="69">
        <v>1</v>
      </c>
      <c r="AP4" s="69">
        <v>1</v>
      </c>
    </row>
    <row r="5" spans="1:42" s="21" customFormat="1" ht="17.45" customHeight="1" thickBot="1" x14ac:dyDescent="0.3">
      <c r="A5" s="234" t="s">
        <v>68</v>
      </c>
      <c r="B5" s="234"/>
      <c r="C5" s="234"/>
      <c r="D5" s="234"/>
      <c r="E5" s="234"/>
      <c r="F5" s="234"/>
      <c r="G5" s="234"/>
      <c r="H5" s="234"/>
      <c r="I5" s="234"/>
      <c r="J5" s="235" t="str">
        <f>+IF(AE8=1,"hout %","")</f>
        <v/>
      </c>
      <c r="K5" s="235"/>
      <c r="L5" s="18">
        <v>6.5000000000000002E-2</v>
      </c>
      <c r="M5" s="236" t="str">
        <f>+IF(AE8=2,IF(ISBLANK(L5),"","geen waarde invullen"),IF(AND(AE8=1,ISNUMBER(L5),L5&gt;0),"","percentage invullen"))</f>
        <v>geen waarde invullen</v>
      </c>
      <c r="N5" s="236"/>
      <c r="O5" s="236"/>
      <c r="P5" s="236"/>
      <c r="Q5" s="236"/>
      <c r="R5" s="236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19">
        <v>2</v>
      </c>
      <c r="AF5" s="19" t="s">
        <v>57</v>
      </c>
      <c r="AG5" s="23">
        <v>1</v>
      </c>
      <c r="AH5" s="24" t="s">
        <v>62</v>
      </c>
      <c r="AI5" s="25" t="s">
        <v>60</v>
      </c>
      <c r="AM5" s="21" t="s">
        <v>97</v>
      </c>
      <c r="AN5" s="90">
        <f>AN3*AO4*AP4</f>
        <v>2.7E-2</v>
      </c>
      <c r="AO5" s="50"/>
      <c r="AP5" s="50"/>
    </row>
    <row r="6" spans="1:42" ht="13.5" customHeight="1" x14ac:dyDescent="0.25">
      <c r="A6" s="26" t="s">
        <v>63</v>
      </c>
      <c r="B6" s="149" t="s">
        <v>27</v>
      </c>
      <c r="C6" s="151"/>
      <c r="D6" s="149" t="s">
        <v>28</v>
      </c>
      <c r="E6" s="151"/>
      <c r="F6" s="149" t="s">
        <v>29</v>
      </c>
      <c r="G6" s="150"/>
      <c r="H6" s="151"/>
      <c r="I6" s="9" t="s">
        <v>30</v>
      </c>
      <c r="J6" s="149" t="s">
        <v>31</v>
      </c>
      <c r="K6" s="151"/>
      <c r="L6" s="13" t="s">
        <v>32</v>
      </c>
      <c r="M6" s="149" t="s">
        <v>33</v>
      </c>
      <c r="N6" s="150"/>
      <c r="O6" s="149" t="s">
        <v>34</v>
      </c>
      <c r="P6" s="150"/>
      <c r="Q6" s="13" t="s">
        <v>21</v>
      </c>
      <c r="R6" s="9" t="s">
        <v>35</v>
      </c>
      <c r="S6" s="13" t="s">
        <v>36</v>
      </c>
      <c r="T6" s="9" t="s">
        <v>37</v>
      </c>
      <c r="U6" s="9" t="s">
        <v>38</v>
      </c>
      <c r="V6" s="149" t="s">
        <v>39</v>
      </c>
      <c r="W6" s="150"/>
      <c r="X6" s="151"/>
      <c r="Y6" s="9" t="s">
        <v>1</v>
      </c>
      <c r="Z6" s="11" t="s">
        <v>40</v>
      </c>
      <c r="AA6" s="152" t="s">
        <v>41</v>
      </c>
      <c r="AB6" s="153"/>
      <c r="AC6" s="154"/>
      <c r="AD6" s="13" t="s">
        <v>41</v>
      </c>
      <c r="AF6" s="19" t="s">
        <v>58</v>
      </c>
      <c r="AG6" s="23">
        <f>+AG5+1</f>
        <v>2</v>
      </c>
      <c r="AH6" s="23">
        <v>50</v>
      </c>
      <c r="AI6" s="23" t="s">
        <v>61</v>
      </c>
      <c r="AL6" s="49"/>
      <c r="AM6" s="65" t="s">
        <v>98</v>
      </c>
      <c r="AN6" s="72">
        <f>AN5</f>
        <v>2.7E-2</v>
      </c>
      <c r="AO6" s="66"/>
      <c r="AP6" s="66"/>
    </row>
    <row r="7" spans="1:42" ht="13.5" customHeight="1" x14ac:dyDescent="0.25">
      <c r="A7" s="27"/>
      <c r="B7" s="201" t="s">
        <v>56</v>
      </c>
      <c r="C7" s="203"/>
      <c r="D7" s="10"/>
      <c r="E7" s="28"/>
      <c r="F7" s="201" t="s">
        <v>44</v>
      </c>
      <c r="G7" s="202"/>
      <c r="H7" s="203"/>
      <c r="I7" s="10" t="s">
        <v>43</v>
      </c>
      <c r="J7" s="201" t="s">
        <v>44</v>
      </c>
      <c r="K7" s="203"/>
      <c r="L7" s="14" t="s">
        <v>43</v>
      </c>
      <c r="M7" s="201" t="s">
        <v>54</v>
      </c>
      <c r="N7" s="202"/>
      <c r="O7" s="201" t="s">
        <v>55</v>
      </c>
      <c r="P7" s="202"/>
      <c r="Q7" s="14" t="s">
        <v>52</v>
      </c>
      <c r="R7" s="10" t="s">
        <v>53</v>
      </c>
      <c r="S7" s="14" t="s">
        <v>43</v>
      </c>
      <c r="T7" s="10" t="s">
        <v>49</v>
      </c>
      <c r="U7" s="10">
        <v>8.1300000000000008</v>
      </c>
      <c r="V7" s="201" t="s">
        <v>50</v>
      </c>
      <c r="W7" s="202"/>
      <c r="X7" s="203"/>
      <c r="Y7" s="10" t="s">
        <v>48</v>
      </c>
      <c r="Z7" s="12" t="s">
        <v>42</v>
      </c>
      <c r="AA7" s="155" t="s">
        <v>51</v>
      </c>
      <c r="AB7" s="156"/>
      <c r="AC7" s="157"/>
      <c r="AD7" s="14"/>
      <c r="AF7" s="19" t="s">
        <v>59</v>
      </c>
      <c r="AG7" s="23">
        <f>+AG6+1</f>
        <v>3</v>
      </c>
      <c r="AH7" s="23">
        <v>17</v>
      </c>
      <c r="AI7" s="23" t="s">
        <v>61</v>
      </c>
    </row>
    <row r="8" spans="1:42" ht="13.5" customHeight="1" x14ac:dyDescent="0.25">
      <c r="A8" s="237" t="s">
        <v>65</v>
      </c>
      <c r="B8" s="158" t="s">
        <v>3</v>
      </c>
      <c r="C8" s="217"/>
      <c r="D8" s="158" t="s">
        <v>3</v>
      </c>
      <c r="E8" s="217"/>
      <c r="F8" s="158" t="s">
        <v>119</v>
      </c>
      <c r="G8" s="217"/>
      <c r="H8" s="208"/>
      <c r="I8" s="158" t="s">
        <v>9</v>
      </c>
      <c r="J8" s="158" t="s">
        <v>15</v>
      </c>
      <c r="K8" s="217"/>
      <c r="L8" s="198" t="s">
        <v>9</v>
      </c>
      <c r="M8" s="204" t="s">
        <v>13</v>
      </c>
      <c r="N8" s="206" t="s">
        <v>14</v>
      </c>
      <c r="O8" s="158" t="s">
        <v>121</v>
      </c>
      <c r="P8" s="208"/>
      <c r="Q8" s="211" t="s">
        <v>118</v>
      </c>
      <c r="R8" s="214" t="s">
        <v>117</v>
      </c>
      <c r="S8" s="193" t="s">
        <v>23</v>
      </c>
      <c r="T8" s="158" t="s">
        <v>24</v>
      </c>
      <c r="U8" s="198" t="s">
        <v>25</v>
      </c>
      <c r="V8" s="158" t="s">
        <v>22</v>
      </c>
      <c r="W8" s="217"/>
      <c r="X8" s="220" t="s">
        <v>26</v>
      </c>
      <c r="Y8" s="158" t="s">
        <v>0</v>
      </c>
      <c r="Z8" s="158" t="s">
        <v>2</v>
      </c>
      <c r="AA8" s="158" t="s">
        <v>122</v>
      </c>
      <c r="AB8" s="159"/>
      <c r="AC8" s="160"/>
      <c r="AD8" s="176" t="s">
        <v>4</v>
      </c>
      <c r="AE8" s="19">
        <v>2</v>
      </c>
      <c r="AF8" s="19" t="s">
        <v>66</v>
      </c>
      <c r="AH8" s="29"/>
    </row>
    <row r="9" spans="1:42" ht="13.5" customHeight="1" x14ac:dyDescent="0.25">
      <c r="A9" s="238"/>
      <c r="B9" s="196"/>
      <c r="C9" s="218"/>
      <c r="D9" s="196"/>
      <c r="E9" s="218"/>
      <c r="F9" s="196"/>
      <c r="G9" s="218"/>
      <c r="H9" s="209"/>
      <c r="I9" s="196"/>
      <c r="J9" s="196"/>
      <c r="K9" s="218"/>
      <c r="L9" s="199"/>
      <c r="M9" s="205"/>
      <c r="N9" s="207"/>
      <c r="O9" s="196"/>
      <c r="P9" s="209"/>
      <c r="Q9" s="212"/>
      <c r="R9" s="215"/>
      <c r="S9" s="194"/>
      <c r="T9" s="196"/>
      <c r="U9" s="199"/>
      <c r="V9" s="196"/>
      <c r="W9" s="218"/>
      <c r="X9" s="221"/>
      <c r="Y9" s="196"/>
      <c r="Z9" s="196"/>
      <c r="AA9" s="161"/>
      <c r="AB9" s="162"/>
      <c r="AC9" s="163"/>
      <c r="AD9" s="177"/>
      <c r="AF9" s="19" t="s">
        <v>67</v>
      </c>
      <c r="AG9" s="29"/>
      <c r="AH9" s="29"/>
      <c r="AI9" s="29"/>
      <c r="AJ9" s="29"/>
    </row>
    <row r="10" spans="1:42" ht="13.5" customHeight="1" x14ac:dyDescent="0.25">
      <c r="A10" s="238"/>
      <c r="B10" s="196"/>
      <c r="C10" s="218"/>
      <c r="D10" s="196"/>
      <c r="E10" s="218"/>
      <c r="F10" s="196"/>
      <c r="G10" s="218"/>
      <c r="H10" s="209"/>
      <c r="I10" s="196"/>
      <c r="J10" s="196"/>
      <c r="K10" s="218"/>
      <c r="L10" s="199"/>
      <c r="M10" s="205"/>
      <c r="N10" s="207"/>
      <c r="O10" s="196"/>
      <c r="P10" s="209"/>
      <c r="Q10" s="212"/>
      <c r="R10" s="215"/>
      <c r="S10" s="194"/>
      <c r="T10" s="196"/>
      <c r="U10" s="199"/>
      <c r="V10" s="196"/>
      <c r="W10" s="218"/>
      <c r="X10" s="221"/>
      <c r="Y10" s="196"/>
      <c r="Z10" s="196"/>
      <c r="AA10" s="161"/>
      <c r="AB10" s="162"/>
      <c r="AC10" s="163"/>
      <c r="AD10" s="177"/>
      <c r="AJ10" s="29"/>
    </row>
    <row r="11" spans="1:42" ht="13.5" customHeight="1" x14ac:dyDescent="0.25">
      <c r="A11" s="238"/>
      <c r="B11" s="196"/>
      <c r="C11" s="218"/>
      <c r="D11" s="196"/>
      <c r="E11" s="218"/>
      <c r="F11" s="196"/>
      <c r="G11" s="218"/>
      <c r="H11" s="209"/>
      <c r="I11" s="196"/>
      <c r="J11" s="196"/>
      <c r="K11" s="218"/>
      <c r="L11" s="199"/>
      <c r="M11" s="205"/>
      <c r="N11" s="207"/>
      <c r="O11" s="196"/>
      <c r="P11" s="209"/>
      <c r="Q11" s="212"/>
      <c r="R11" s="215"/>
      <c r="S11" s="194"/>
      <c r="T11" s="196"/>
      <c r="U11" s="199"/>
      <c r="V11" s="196"/>
      <c r="W11" s="218"/>
      <c r="X11" s="221"/>
      <c r="Y11" s="196"/>
      <c r="Z11" s="196"/>
      <c r="AA11" s="161"/>
      <c r="AB11" s="162"/>
      <c r="AC11" s="163"/>
      <c r="AD11" s="177"/>
      <c r="AH11" s="29"/>
      <c r="AI11" s="29"/>
      <c r="AJ11" s="29"/>
    </row>
    <row r="12" spans="1:42" ht="13.5" customHeight="1" x14ac:dyDescent="0.25">
      <c r="A12" s="238"/>
      <c r="B12" s="197"/>
      <c r="C12" s="219"/>
      <c r="D12" s="197"/>
      <c r="E12" s="219"/>
      <c r="F12" s="197"/>
      <c r="G12" s="219"/>
      <c r="H12" s="210"/>
      <c r="I12" s="197"/>
      <c r="J12" s="197"/>
      <c r="K12" s="219"/>
      <c r="L12" s="200"/>
      <c r="M12" s="179" t="str">
        <f>+CONCATENATE(G16*100,"% x")</f>
        <v>100% x</v>
      </c>
      <c r="N12" s="181" t="str">
        <f>+CONCATENATE(ROUND(K16*100,1),"% x")</f>
        <v>0% x</v>
      </c>
      <c r="O12" s="197"/>
      <c r="P12" s="210"/>
      <c r="Q12" s="212"/>
      <c r="R12" s="215"/>
      <c r="S12" s="194"/>
      <c r="T12" s="197"/>
      <c r="U12" s="200"/>
      <c r="V12" s="196"/>
      <c r="W12" s="218"/>
      <c r="X12" s="221"/>
      <c r="Y12" s="197"/>
      <c r="Z12" s="197"/>
      <c r="AA12" s="161"/>
      <c r="AB12" s="162"/>
      <c r="AC12" s="163"/>
      <c r="AD12" s="178"/>
      <c r="AF12" s="30"/>
      <c r="AH12" s="29"/>
      <c r="AI12" s="29"/>
      <c r="AJ12" s="29"/>
    </row>
    <row r="13" spans="1:42" ht="13.5" customHeight="1" x14ac:dyDescent="0.25">
      <c r="A13" s="238"/>
      <c r="B13" s="1" t="s">
        <v>11</v>
      </c>
      <c r="C13" s="31">
        <f>+F2</f>
        <v>2.7E-2</v>
      </c>
      <c r="D13" s="1" t="s">
        <v>12</v>
      </c>
      <c r="E13" s="31">
        <v>0.13</v>
      </c>
      <c r="F13" s="1" t="s">
        <v>8</v>
      </c>
      <c r="G13" s="32">
        <f>+VLOOKUP(AE1,AG1:AJ4,2)</f>
        <v>0.17</v>
      </c>
      <c r="H13" s="32" t="s">
        <v>45</v>
      </c>
      <c r="I13" s="172"/>
      <c r="J13" s="184"/>
      <c r="K13" s="185"/>
      <c r="L13" s="188"/>
      <c r="M13" s="179"/>
      <c r="N13" s="181"/>
      <c r="O13" s="191" t="s">
        <v>18</v>
      </c>
      <c r="P13" s="192"/>
      <c r="Q13" s="212"/>
      <c r="R13" s="215"/>
      <c r="S13" s="194"/>
      <c r="T13" s="172"/>
      <c r="U13" s="172"/>
      <c r="V13" s="197"/>
      <c r="W13" s="219"/>
      <c r="X13" s="222"/>
      <c r="Y13" s="172"/>
      <c r="Z13" s="168"/>
      <c r="AA13" s="114"/>
      <c r="AB13" s="116"/>
      <c r="AC13" s="117"/>
      <c r="AD13" s="146"/>
      <c r="AH13" s="29"/>
      <c r="AI13" s="29"/>
      <c r="AJ13" s="29"/>
      <c r="AK13" s="29"/>
    </row>
    <row r="14" spans="1:42" ht="13.5" customHeight="1" x14ac:dyDescent="0.25">
      <c r="A14" s="238"/>
      <c r="B14" s="164" t="s">
        <v>64</v>
      </c>
      <c r="C14" s="165"/>
      <c r="D14" s="164" t="s">
        <v>61</v>
      </c>
      <c r="E14" s="165"/>
      <c r="F14" s="1" t="s">
        <v>10</v>
      </c>
      <c r="G14" s="32">
        <f>+VLOOKUP(AE1,AG1:AJ4,3)</f>
        <v>0</v>
      </c>
      <c r="H14" s="32" t="s">
        <v>45</v>
      </c>
      <c r="I14" s="183"/>
      <c r="J14" s="186"/>
      <c r="K14" s="187"/>
      <c r="L14" s="189"/>
      <c r="M14" s="180"/>
      <c r="N14" s="182"/>
      <c r="O14" s="1" t="str">
        <f>+CONCATENATE(G16*100,"% x")</f>
        <v>100% x</v>
      </c>
      <c r="P14" s="2" t="s">
        <v>19</v>
      </c>
      <c r="Q14" s="213"/>
      <c r="R14" s="216"/>
      <c r="S14" s="195"/>
      <c r="T14" s="183"/>
      <c r="U14" s="183"/>
      <c r="V14" s="33" t="s">
        <v>5</v>
      </c>
      <c r="W14" s="32">
        <f>+IF(AND(ISNUMBER(L3),L3&gt;0),L3,"n.v.t.")</f>
        <v>5</v>
      </c>
      <c r="X14" s="8" t="str">
        <f>+IF(W14="n.v.t.","","stuks/m²")</f>
        <v>stuks/m²</v>
      </c>
      <c r="Y14" s="183"/>
      <c r="Z14" s="191"/>
      <c r="AA14" s="113"/>
      <c r="AB14" s="118"/>
      <c r="AC14" s="119"/>
      <c r="AD14" s="147"/>
    </row>
    <row r="15" spans="1:42" ht="13.5" customHeight="1" x14ac:dyDescent="0.25">
      <c r="A15" s="238"/>
      <c r="B15" s="164"/>
      <c r="C15" s="165"/>
      <c r="D15" s="164"/>
      <c r="E15" s="165"/>
      <c r="F15" s="34"/>
      <c r="G15" s="32"/>
      <c r="H15" s="32"/>
      <c r="I15" s="183"/>
      <c r="J15" s="186"/>
      <c r="K15" s="187"/>
      <c r="L15" s="189"/>
      <c r="M15" s="168"/>
      <c r="N15" s="169"/>
      <c r="O15" s="1" t="str">
        <f>+CONCATENATE(ROUND(K16*100,1),"% x")</f>
        <v>0% x</v>
      </c>
      <c r="P15" s="2" t="s">
        <v>20</v>
      </c>
      <c r="Q15" s="172"/>
      <c r="R15" s="172"/>
      <c r="S15" s="172"/>
      <c r="T15" s="183"/>
      <c r="U15" s="183"/>
      <c r="V15" s="5" t="s">
        <v>6</v>
      </c>
      <c r="W15" s="6">
        <f>+VLOOKUP(AE5,AG5:AI7,2)</f>
        <v>50</v>
      </c>
      <c r="X15" s="8" t="str">
        <f>+VLOOKUP(AE5,AG5:AI7,3)</f>
        <v>tabel H.1</v>
      </c>
      <c r="Y15" s="183"/>
      <c r="Z15" s="191"/>
      <c r="AA15" s="113"/>
      <c r="AB15" s="118"/>
      <c r="AC15" s="119"/>
      <c r="AD15" s="147"/>
      <c r="AF15" s="24" t="s">
        <v>60</v>
      </c>
      <c r="AL15" s="53"/>
      <c r="AM15" s="56"/>
    </row>
    <row r="16" spans="1:42" ht="13.5" customHeight="1" thickBot="1" x14ac:dyDescent="0.3">
      <c r="A16" s="239"/>
      <c r="B16" s="166"/>
      <c r="C16" s="167"/>
      <c r="D16" s="166"/>
      <c r="E16" s="167"/>
      <c r="F16" s="3" t="s">
        <v>17</v>
      </c>
      <c r="G16" s="174">
        <f>1-K16</f>
        <v>1</v>
      </c>
      <c r="H16" s="175"/>
      <c r="I16" s="173"/>
      <c r="J16" s="16" t="s">
        <v>16</v>
      </c>
      <c r="K16" s="35">
        <f>+IF(AE8=1,L5,0)</f>
        <v>0</v>
      </c>
      <c r="L16" s="190"/>
      <c r="M16" s="170"/>
      <c r="N16" s="171"/>
      <c r="O16" s="44"/>
      <c r="P16" s="4"/>
      <c r="Q16" s="173"/>
      <c r="R16" s="173"/>
      <c r="S16" s="173"/>
      <c r="T16" s="173"/>
      <c r="U16" s="173"/>
      <c r="V16" s="7" t="s">
        <v>7</v>
      </c>
      <c r="W16" s="36">
        <f>+IF(AND(ISNUMBER(L4),L4&gt;0),L4,"n.v.t.")</f>
        <v>5</v>
      </c>
      <c r="X16" s="15" t="str">
        <f>+IF(W16="n.v.t.","","mm")</f>
        <v>mm</v>
      </c>
      <c r="Y16" s="173"/>
      <c r="Z16" s="170"/>
      <c r="AA16" s="120" t="s">
        <v>120</v>
      </c>
      <c r="AB16" s="121">
        <f>+VLOOKUP(AE1,AG1:AJ4,4)</f>
        <v>0.15</v>
      </c>
      <c r="AC16" s="122" t="s">
        <v>65</v>
      </c>
      <c r="AD16" s="148"/>
      <c r="AL16" s="54" t="s">
        <v>83</v>
      </c>
      <c r="AM16" s="92" t="s">
        <v>102</v>
      </c>
    </row>
    <row r="17" spans="1:39" ht="13.5" customHeight="1" x14ac:dyDescent="0.25">
      <c r="A17" s="23">
        <v>40</v>
      </c>
      <c r="B17" s="144">
        <f>+$A17*0.001/C$13</f>
        <v>1.4814814814814816</v>
      </c>
      <c r="C17" s="145"/>
      <c r="D17" s="144">
        <f>+$A17*0.001/E$13</f>
        <v>0.30769230769230771</v>
      </c>
      <c r="E17" s="145"/>
      <c r="F17" s="144">
        <f t="shared" ref="F17:F35" si="0">(B17+$G$13+$G$14)</f>
        <v>1.6514814814814816</v>
      </c>
      <c r="G17" s="145"/>
      <c r="H17" s="46"/>
      <c r="I17" s="38">
        <f>1/F17</f>
        <v>0.60551693204754431</v>
      </c>
      <c r="J17" s="144">
        <f t="shared" ref="J17:J35" si="1">(D17+$G$13+$G$14)</f>
        <v>0.47769230769230775</v>
      </c>
      <c r="K17" s="145"/>
      <c r="L17" s="38">
        <f>1/J17</f>
        <v>2.0933977455716586</v>
      </c>
      <c r="M17" s="144">
        <f>1/($G$16*I17+$K$16*L17)</f>
        <v>1.6514814814814813</v>
      </c>
      <c r="N17" s="145"/>
      <c r="O17" s="144">
        <f t="shared" ref="O17:O35" si="2">+A17*0.001/($G$16*$C$13+$K$16*$E$13)+$G$13+$G$14</f>
        <v>1.6514814814814816</v>
      </c>
      <c r="P17" s="145"/>
      <c r="Q17" s="45">
        <f t="shared" ref="Q17:Q35" si="3">+IF(M17/(O17)&lt;1.05,0,1)</f>
        <v>0</v>
      </c>
      <c r="R17" s="38">
        <f t="shared" ref="R17:R35" si="4">+((Q17*M17+O17)/(1+1.05*Q17))</f>
        <v>1.6514814814814816</v>
      </c>
      <c r="S17" s="38">
        <f>1/R17</f>
        <v>0.60551693204754431</v>
      </c>
      <c r="T17" s="38">
        <v>0</v>
      </c>
      <c r="U17" s="38">
        <v>0</v>
      </c>
      <c r="V17" s="144">
        <f>+IF(ISNUMBER($W$15),POWER(B17/R17,2)*((0.8*A17/A17)*($L$3*$W$15*PI()*POWER(($L$4/2)*0.001,2))/(A17*0.001)),0)</f>
        <v>7.9003245427258881E-2</v>
      </c>
      <c r="W17" s="145"/>
      <c r="X17" s="46"/>
      <c r="Y17" s="38">
        <f>T17+U17+V17</f>
        <v>7.9003245427258881E-2</v>
      </c>
      <c r="Z17" s="38">
        <f t="shared" ref="Z17:Z35" si="5">S17/1+Y17</f>
        <v>0.6845201774748032</v>
      </c>
      <c r="AA17" s="38"/>
      <c r="AB17" s="115">
        <f t="shared" ref="AB17:AB35" si="6">1/Z17-$G$13-$G$14+$AB$16</f>
        <v>1.4408773165591739</v>
      </c>
      <c r="AC17" s="115"/>
      <c r="AD17" s="39">
        <f t="shared" ref="AD17:AD35" si="7">ROUND(AB17,1)</f>
        <v>1.4</v>
      </c>
      <c r="AE17" s="37"/>
      <c r="AL17" s="85"/>
      <c r="AM17" s="52"/>
    </row>
    <row r="18" spans="1:39" ht="13.5" customHeight="1" x14ac:dyDescent="0.25">
      <c r="A18" s="23">
        <f t="shared" ref="A18:A23" si="8">+A17+10</f>
        <v>50</v>
      </c>
      <c r="B18" s="144">
        <f t="shared" ref="B18:B35" si="9">+$A18*0.001/C$13</f>
        <v>1.8518518518518521</v>
      </c>
      <c r="C18" s="145"/>
      <c r="D18" s="144">
        <f>+$A18*0.001/E$13</f>
        <v>0.38461538461538464</v>
      </c>
      <c r="E18" s="145"/>
      <c r="F18" s="144">
        <f t="shared" si="0"/>
        <v>2.021851851851852</v>
      </c>
      <c r="G18" s="145"/>
      <c r="H18" s="46"/>
      <c r="I18" s="38">
        <f>1/F18</f>
        <v>0.49459607986810766</v>
      </c>
      <c r="J18" s="144">
        <f t="shared" si="1"/>
        <v>0.55461538461538462</v>
      </c>
      <c r="K18" s="145"/>
      <c r="L18" s="38">
        <f>1/J18</f>
        <v>1.8030513176144245</v>
      </c>
      <c r="M18" s="144">
        <f t="shared" ref="M18:M35" si="10">1/($G$16*I18+$K$16*L18)</f>
        <v>2.021851851851852</v>
      </c>
      <c r="N18" s="145"/>
      <c r="O18" s="144">
        <f t="shared" si="2"/>
        <v>2.021851851851852</v>
      </c>
      <c r="P18" s="145"/>
      <c r="Q18" s="45">
        <f t="shared" si="3"/>
        <v>0</v>
      </c>
      <c r="R18" s="38">
        <f t="shared" si="4"/>
        <v>2.021851851851852</v>
      </c>
      <c r="S18" s="38">
        <f t="shared" ref="S18:S35" si="11">1/R18</f>
        <v>0.49459607986810766</v>
      </c>
      <c r="T18" s="38">
        <v>0</v>
      </c>
      <c r="U18" s="38">
        <v>0</v>
      </c>
      <c r="V18" s="144">
        <f t="shared" ref="V18:V35" si="12">+IF(ISNUMBER($W$15),POWER(B18/R18,2)*((0.8*A18/A18)*($L$3*$W$15*PI()*POWER(($L$4/2)*0.001,2))/(A18*0.001)),0)</f>
        <v>6.5887601981096361E-2</v>
      </c>
      <c r="W18" s="145"/>
      <c r="X18" s="46"/>
      <c r="Y18" s="38">
        <f t="shared" ref="Y18:Y35" si="13">T18+U18+V18</f>
        <v>6.5887601981096361E-2</v>
      </c>
      <c r="Z18" s="38">
        <f t="shared" si="5"/>
        <v>0.56048368184920405</v>
      </c>
      <c r="AA18" s="38"/>
      <c r="AB18" s="115">
        <f t="shared" si="6"/>
        <v>1.7641732638864696</v>
      </c>
      <c r="AC18" s="115"/>
      <c r="AD18" s="39">
        <f t="shared" si="7"/>
        <v>1.8</v>
      </c>
      <c r="AL18" s="85"/>
      <c r="AM18" s="52"/>
    </row>
    <row r="19" spans="1:39" ht="13.5" customHeight="1" x14ac:dyDescent="0.25">
      <c r="A19" s="23">
        <f t="shared" si="8"/>
        <v>60</v>
      </c>
      <c r="B19" s="144">
        <f t="shared" si="9"/>
        <v>2.2222222222222223</v>
      </c>
      <c r="C19" s="145"/>
      <c r="D19" s="144">
        <f t="shared" ref="D19:D35" si="14">+$A19*0.001/E$13</f>
        <v>0.46153846153846151</v>
      </c>
      <c r="E19" s="145"/>
      <c r="F19" s="144">
        <f t="shared" si="0"/>
        <v>2.3922222222222222</v>
      </c>
      <c r="G19" s="145"/>
      <c r="H19" s="46"/>
      <c r="I19" s="38">
        <f t="shared" ref="I19:I35" si="15">1/F19</f>
        <v>0.41802136553646074</v>
      </c>
      <c r="J19" s="144">
        <f t="shared" si="1"/>
        <v>0.63153846153846149</v>
      </c>
      <c r="K19" s="145"/>
      <c r="L19" s="38">
        <f t="shared" ref="L19:L35" si="16">1/J19</f>
        <v>1.5834348355663825</v>
      </c>
      <c r="M19" s="144">
        <f t="shared" si="10"/>
        <v>2.3922222222222222</v>
      </c>
      <c r="N19" s="145"/>
      <c r="O19" s="144">
        <f t="shared" si="2"/>
        <v>2.3922222222222222</v>
      </c>
      <c r="P19" s="145"/>
      <c r="Q19" s="45">
        <f t="shared" si="3"/>
        <v>0</v>
      </c>
      <c r="R19" s="38">
        <f t="shared" si="4"/>
        <v>2.3922222222222222</v>
      </c>
      <c r="S19" s="38">
        <f t="shared" si="11"/>
        <v>0.41802136553646074</v>
      </c>
      <c r="T19" s="38">
        <v>0</v>
      </c>
      <c r="U19" s="38">
        <v>0</v>
      </c>
      <c r="V19" s="144">
        <f t="shared" si="12"/>
        <v>5.6478163587970233E-2</v>
      </c>
      <c r="W19" s="145"/>
      <c r="X19" s="46"/>
      <c r="Y19" s="38">
        <f t="shared" si="13"/>
        <v>5.6478163587970233E-2</v>
      </c>
      <c r="Z19" s="38">
        <f t="shared" si="5"/>
        <v>0.474499529124431</v>
      </c>
      <c r="AA19" s="38"/>
      <c r="AB19" s="115">
        <f t="shared" si="6"/>
        <v>2.0874836509221564</v>
      </c>
      <c r="AC19" s="115"/>
      <c r="AD19" s="39">
        <f t="shared" si="7"/>
        <v>2.1</v>
      </c>
      <c r="AL19" s="85"/>
      <c r="AM19" s="52"/>
    </row>
    <row r="20" spans="1:39" ht="13.5" customHeight="1" x14ac:dyDescent="0.25">
      <c r="A20" s="23">
        <f t="shared" si="8"/>
        <v>70</v>
      </c>
      <c r="B20" s="144">
        <f t="shared" si="9"/>
        <v>2.592592592592593</v>
      </c>
      <c r="C20" s="145"/>
      <c r="D20" s="144">
        <f t="shared" si="14"/>
        <v>0.53846153846153855</v>
      </c>
      <c r="E20" s="145"/>
      <c r="F20" s="144">
        <f t="shared" si="0"/>
        <v>2.7625925925925929</v>
      </c>
      <c r="G20" s="145"/>
      <c r="H20" s="46"/>
      <c r="I20" s="38">
        <f t="shared" si="15"/>
        <v>0.3619788175358627</v>
      </c>
      <c r="J20" s="144">
        <f t="shared" si="1"/>
        <v>0.70846153846153859</v>
      </c>
      <c r="K20" s="145"/>
      <c r="L20" s="38">
        <f t="shared" si="16"/>
        <v>1.4115092290988054</v>
      </c>
      <c r="M20" s="144">
        <f t="shared" si="10"/>
        <v>2.7625925925925929</v>
      </c>
      <c r="N20" s="145"/>
      <c r="O20" s="144">
        <f t="shared" si="2"/>
        <v>2.7625925925925929</v>
      </c>
      <c r="P20" s="145"/>
      <c r="Q20" s="45">
        <f t="shared" si="3"/>
        <v>0</v>
      </c>
      <c r="R20" s="38">
        <f t="shared" si="4"/>
        <v>2.7625925925925929</v>
      </c>
      <c r="S20" s="38">
        <f t="shared" si="11"/>
        <v>0.3619788175358627</v>
      </c>
      <c r="T20" s="38">
        <v>0</v>
      </c>
      <c r="U20" s="38">
        <v>0</v>
      </c>
      <c r="V20" s="144">
        <f t="shared" si="12"/>
        <v>4.9407935960289744E-2</v>
      </c>
      <c r="W20" s="145"/>
      <c r="X20" s="46"/>
      <c r="Y20" s="38">
        <f t="shared" si="13"/>
        <v>4.9407935960289744E-2</v>
      </c>
      <c r="Z20" s="38">
        <f t="shared" si="5"/>
        <v>0.41138675349615245</v>
      </c>
      <c r="AA20" s="38"/>
      <c r="AB20" s="115">
        <f t="shared" si="6"/>
        <v>2.4108026242982872</v>
      </c>
      <c r="AC20" s="115"/>
      <c r="AD20" s="39">
        <f t="shared" si="7"/>
        <v>2.4</v>
      </c>
      <c r="AL20" s="85"/>
      <c r="AM20" s="52"/>
    </row>
    <row r="21" spans="1:39" ht="13.5" customHeight="1" x14ac:dyDescent="0.25">
      <c r="A21" s="23">
        <f t="shared" si="8"/>
        <v>80</v>
      </c>
      <c r="B21" s="144">
        <f t="shared" si="9"/>
        <v>2.9629629629629632</v>
      </c>
      <c r="C21" s="145"/>
      <c r="D21" s="144">
        <f t="shared" si="14"/>
        <v>0.61538461538461542</v>
      </c>
      <c r="E21" s="145"/>
      <c r="F21" s="144">
        <f t="shared" si="0"/>
        <v>3.1329629629629632</v>
      </c>
      <c r="G21" s="145"/>
      <c r="H21" s="46"/>
      <c r="I21" s="38">
        <f t="shared" si="15"/>
        <v>0.31918666509043619</v>
      </c>
      <c r="J21" s="144">
        <f t="shared" si="1"/>
        <v>0.78538461538461546</v>
      </c>
      <c r="K21" s="145"/>
      <c r="L21" s="38">
        <f t="shared" si="16"/>
        <v>1.2732615083251713</v>
      </c>
      <c r="M21" s="144">
        <f t="shared" si="10"/>
        <v>3.1329629629629632</v>
      </c>
      <c r="N21" s="145"/>
      <c r="O21" s="144">
        <f t="shared" si="2"/>
        <v>3.1329629629629632</v>
      </c>
      <c r="P21" s="145"/>
      <c r="Q21" s="45">
        <f t="shared" si="3"/>
        <v>0</v>
      </c>
      <c r="R21" s="38">
        <f t="shared" si="4"/>
        <v>3.1329629629629632</v>
      </c>
      <c r="S21" s="38">
        <f t="shared" si="11"/>
        <v>0.31918666509043619</v>
      </c>
      <c r="T21" s="38">
        <v>0</v>
      </c>
      <c r="U21" s="38">
        <v>0</v>
      </c>
      <c r="V21" s="144">
        <f t="shared" si="12"/>
        <v>4.3904781765287899E-2</v>
      </c>
      <c r="W21" s="145"/>
      <c r="X21" s="46"/>
      <c r="Y21" s="38">
        <f t="shared" si="13"/>
        <v>4.3904781765287899E-2</v>
      </c>
      <c r="Z21" s="38">
        <f t="shared" si="5"/>
        <v>0.36309144685572409</v>
      </c>
      <c r="AA21" s="38"/>
      <c r="AB21" s="115">
        <f t="shared" si="6"/>
        <v>2.7341271177267754</v>
      </c>
      <c r="AC21" s="115"/>
      <c r="AD21" s="39">
        <f t="shared" si="7"/>
        <v>2.7</v>
      </c>
      <c r="AF21" s="40"/>
      <c r="AL21" s="85"/>
      <c r="AM21" s="52"/>
    </row>
    <row r="22" spans="1:39" ht="13.5" customHeight="1" x14ac:dyDescent="0.25">
      <c r="A22" s="23">
        <f t="shared" si="8"/>
        <v>90</v>
      </c>
      <c r="B22" s="144">
        <f t="shared" si="9"/>
        <v>3.333333333333333</v>
      </c>
      <c r="C22" s="145"/>
      <c r="D22" s="144">
        <f t="shared" si="14"/>
        <v>0.69230769230769229</v>
      </c>
      <c r="E22" s="145"/>
      <c r="F22" s="144">
        <f t="shared" si="0"/>
        <v>3.503333333333333</v>
      </c>
      <c r="G22" s="145"/>
      <c r="H22" s="46"/>
      <c r="I22" s="38">
        <f t="shared" si="15"/>
        <v>0.28544243577545197</v>
      </c>
      <c r="J22" s="144">
        <f t="shared" si="1"/>
        <v>0.86230769230769233</v>
      </c>
      <c r="K22" s="145"/>
      <c r="L22" s="38">
        <f t="shared" si="16"/>
        <v>1.1596788581623549</v>
      </c>
      <c r="M22" s="144">
        <f t="shared" si="10"/>
        <v>3.503333333333333</v>
      </c>
      <c r="N22" s="145"/>
      <c r="O22" s="144">
        <f t="shared" si="2"/>
        <v>3.503333333333333</v>
      </c>
      <c r="P22" s="145"/>
      <c r="Q22" s="45">
        <f t="shared" si="3"/>
        <v>0</v>
      </c>
      <c r="R22" s="38">
        <f t="shared" si="4"/>
        <v>3.503333333333333</v>
      </c>
      <c r="S22" s="38">
        <f t="shared" si="11"/>
        <v>0.28544243577545197</v>
      </c>
      <c r="T22" s="38">
        <v>0</v>
      </c>
      <c r="U22" s="38">
        <v>0</v>
      </c>
      <c r="V22" s="144">
        <f t="shared" si="12"/>
        <v>3.9501350532779027E-2</v>
      </c>
      <c r="W22" s="145"/>
      <c r="X22" s="46"/>
      <c r="Y22" s="38">
        <f t="shared" si="13"/>
        <v>3.9501350532779027E-2</v>
      </c>
      <c r="Z22" s="38">
        <f t="shared" si="5"/>
        <v>0.32494378630823101</v>
      </c>
      <c r="AA22" s="38"/>
      <c r="AB22" s="115">
        <f t="shared" si="6"/>
        <v>3.0574553696233258</v>
      </c>
      <c r="AC22" s="115"/>
      <c r="AD22" s="39">
        <f t="shared" si="7"/>
        <v>3.1</v>
      </c>
      <c r="AL22" s="85"/>
      <c r="AM22" s="52"/>
    </row>
    <row r="23" spans="1:39" ht="13.5" customHeight="1" x14ac:dyDescent="0.25">
      <c r="A23" s="23">
        <f t="shared" si="8"/>
        <v>100</v>
      </c>
      <c r="B23" s="144">
        <f t="shared" si="9"/>
        <v>3.7037037037037042</v>
      </c>
      <c r="C23" s="145"/>
      <c r="D23" s="144">
        <f t="shared" si="14"/>
        <v>0.76923076923076927</v>
      </c>
      <c r="E23" s="145"/>
      <c r="F23" s="144">
        <f t="shared" si="0"/>
        <v>3.8737037037037041</v>
      </c>
      <c r="G23" s="145"/>
      <c r="H23" s="46"/>
      <c r="I23" s="38">
        <f t="shared" si="15"/>
        <v>0.25815087484463139</v>
      </c>
      <c r="J23" s="144">
        <f t="shared" si="1"/>
        <v>0.93923076923076931</v>
      </c>
      <c r="K23" s="145"/>
      <c r="L23" s="38">
        <f t="shared" si="16"/>
        <v>1.0647010647010646</v>
      </c>
      <c r="M23" s="144">
        <f t="shared" si="10"/>
        <v>3.8737037037037041</v>
      </c>
      <c r="N23" s="145"/>
      <c r="O23" s="144">
        <f t="shared" si="2"/>
        <v>3.8737037037037041</v>
      </c>
      <c r="P23" s="145"/>
      <c r="Q23" s="45">
        <f t="shared" si="3"/>
        <v>0</v>
      </c>
      <c r="R23" s="38">
        <f t="shared" si="4"/>
        <v>3.8737037037037041</v>
      </c>
      <c r="S23" s="38">
        <f t="shared" si="11"/>
        <v>0.25815087484463139</v>
      </c>
      <c r="T23" s="38">
        <v>0</v>
      </c>
      <c r="U23" s="38">
        <v>0</v>
      </c>
      <c r="V23" s="144">
        <f t="shared" si="12"/>
        <v>3.5898769265247023E-2</v>
      </c>
      <c r="W23" s="145"/>
      <c r="X23" s="46"/>
      <c r="Y23" s="38">
        <f t="shared" si="13"/>
        <v>3.5898769265247023E-2</v>
      </c>
      <c r="Z23" s="38">
        <f t="shared" si="5"/>
        <v>0.29404964410987844</v>
      </c>
      <c r="AA23" s="38"/>
      <c r="AB23" s="115">
        <f t="shared" si="6"/>
        <v>3.3807862958892985</v>
      </c>
      <c r="AC23" s="115"/>
      <c r="AD23" s="39">
        <f t="shared" si="7"/>
        <v>3.4</v>
      </c>
      <c r="AL23" s="85"/>
      <c r="AM23" s="52"/>
    </row>
    <row r="24" spans="1:39" ht="13.5" customHeight="1" x14ac:dyDescent="0.25">
      <c r="A24" s="23">
        <f t="shared" ref="A24:A35" si="17">+A23+10</f>
        <v>110</v>
      </c>
      <c r="B24" s="144">
        <f t="shared" si="9"/>
        <v>4.0740740740740744</v>
      </c>
      <c r="C24" s="145"/>
      <c r="D24" s="144">
        <f t="shared" si="14"/>
        <v>0.84615384615384615</v>
      </c>
      <c r="E24" s="145"/>
      <c r="F24" s="144">
        <f t="shared" si="0"/>
        <v>4.2440740740740743</v>
      </c>
      <c r="G24" s="145"/>
      <c r="H24" s="46"/>
      <c r="I24" s="38">
        <f t="shared" si="15"/>
        <v>0.2356226546819094</v>
      </c>
      <c r="J24" s="144">
        <f t="shared" si="1"/>
        <v>1.0161538461538462</v>
      </c>
      <c r="K24" s="145"/>
      <c r="L24" s="38">
        <f t="shared" si="16"/>
        <v>0.98410295230885692</v>
      </c>
      <c r="M24" s="144">
        <f t="shared" si="10"/>
        <v>4.2440740740740743</v>
      </c>
      <c r="N24" s="145"/>
      <c r="O24" s="144">
        <f t="shared" si="2"/>
        <v>4.2440740740740743</v>
      </c>
      <c r="P24" s="145"/>
      <c r="Q24" s="45">
        <f t="shared" si="3"/>
        <v>0</v>
      </c>
      <c r="R24" s="38">
        <f t="shared" si="4"/>
        <v>4.2440740740740743</v>
      </c>
      <c r="S24" s="38">
        <f t="shared" si="11"/>
        <v>0.2356226546819094</v>
      </c>
      <c r="T24" s="38">
        <v>0</v>
      </c>
      <c r="U24" s="38">
        <v>0</v>
      </c>
      <c r="V24" s="144">
        <f t="shared" si="12"/>
        <v>3.289721491213491E-2</v>
      </c>
      <c r="W24" s="145"/>
      <c r="X24" s="46"/>
      <c r="Y24" s="38">
        <f t="shared" si="13"/>
        <v>3.289721491213491E-2</v>
      </c>
      <c r="Z24" s="38">
        <f t="shared" si="5"/>
        <v>0.26851986959404434</v>
      </c>
      <c r="AA24" s="38"/>
      <c r="AB24" s="115">
        <f t="shared" si="6"/>
        <v>3.7041191927875849</v>
      </c>
      <c r="AC24" s="115"/>
      <c r="AD24" s="39">
        <f t="shared" si="7"/>
        <v>3.7</v>
      </c>
      <c r="AL24" s="85"/>
      <c r="AM24" s="52"/>
    </row>
    <row r="25" spans="1:39" ht="13.5" customHeight="1" x14ac:dyDescent="0.25">
      <c r="A25" s="23">
        <f t="shared" si="17"/>
        <v>120</v>
      </c>
      <c r="B25" s="144">
        <f t="shared" si="9"/>
        <v>4.4444444444444446</v>
      </c>
      <c r="C25" s="145"/>
      <c r="D25" s="144">
        <f t="shared" si="14"/>
        <v>0.92307692307692302</v>
      </c>
      <c r="E25" s="145"/>
      <c r="F25" s="144">
        <f t="shared" si="0"/>
        <v>4.6144444444444446</v>
      </c>
      <c r="G25" s="145"/>
      <c r="H25" s="46"/>
      <c r="I25" s="38">
        <f t="shared" si="15"/>
        <v>0.21671081146159402</v>
      </c>
      <c r="J25" s="144">
        <f t="shared" si="1"/>
        <v>1.0930769230769231</v>
      </c>
      <c r="K25" s="145"/>
      <c r="L25" s="38">
        <f t="shared" si="16"/>
        <v>0.91484869809992964</v>
      </c>
      <c r="M25" s="144">
        <f t="shared" si="10"/>
        <v>4.6144444444444446</v>
      </c>
      <c r="N25" s="145"/>
      <c r="O25" s="144">
        <f t="shared" si="2"/>
        <v>4.6144444444444446</v>
      </c>
      <c r="P25" s="145"/>
      <c r="Q25" s="45">
        <f t="shared" si="3"/>
        <v>0</v>
      </c>
      <c r="R25" s="38">
        <f t="shared" si="4"/>
        <v>4.6144444444444446</v>
      </c>
      <c r="S25" s="38">
        <f t="shared" si="11"/>
        <v>0.21671081146159402</v>
      </c>
      <c r="T25" s="38">
        <v>0</v>
      </c>
      <c r="U25" s="38">
        <v>0</v>
      </c>
      <c r="V25" s="144">
        <f t="shared" si="12"/>
        <v>3.0358112085026742E-2</v>
      </c>
      <c r="W25" s="145"/>
      <c r="X25" s="46"/>
      <c r="Y25" s="38">
        <f t="shared" si="13"/>
        <v>3.0358112085026742E-2</v>
      </c>
      <c r="Z25" s="38">
        <f t="shared" si="5"/>
        <v>0.24706892354662074</v>
      </c>
      <c r="AA25" s="38"/>
      <c r="AB25" s="115">
        <f t="shared" si="6"/>
        <v>4.0274535835799066</v>
      </c>
      <c r="AC25" s="115"/>
      <c r="AD25" s="39">
        <f t="shared" si="7"/>
        <v>4</v>
      </c>
      <c r="AL25" s="85"/>
      <c r="AM25" s="52"/>
    </row>
    <row r="26" spans="1:39" ht="13.5" customHeight="1" x14ac:dyDescent="0.25">
      <c r="A26" s="23">
        <f t="shared" si="17"/>
        <v>130</v>
      </c>
      <c r="B26" s="144">
        <f t="shared" si="9"/>
        <v>4.8148148148148149</v>
      </c>
      <c r="C26" s="145"/>
      <c r="D26" s="144">
        <f t="shared" si="14"/>
        <v>1</v>
      </c>
      <c r="E26" s="145"/>
      <c r="F26" s="144">
        <f t="shared" si="0"/>
        <v>4.9848148148148148</v>
      </c>
      <c r="G26" s="145"/>
      <c r="H26" s="46"/>
      <c r="I26" s="38">
        <f t="shared" si="15"/>
        <v>0.20060925774574634</v>
      </c>
      <c r="J26" s="144">
        <f t="shared" si="1"/>
        <v>1.17</v>
      </c>
      <c r="K26" s="145"/>
      <c r="L26" s="38">
        <f t="shared" si="16"/>
        <v>0.85470085470085477</v>
      </c>
      <c r="M26" s="144">
        <f t="shared" si="10"/>
        <v>4.9848148148148148</v>
      </c>
      <c r="N26" s="145"/>
      <c r="O26" s="144">
        <f t="shared" si="2"/>
        <v>4.9848148148148148</v>
      </c>
      <c r="P26" s="145"/>
      <c r="Q26" s="45">
        <f t="shared" si="3"/>
        <v>0</v>
      </c>
      <c r="R26" s="38">
        <f t="shared" si="4"/>
        <v>4.9848148148148148</v>
      </c>
      <c r="S26" s="38">
        <f t="shared" si="11"/>
        <v>0.20060925774574634</v>
      </c>
      <c r="T26" s="38">
        <v>0</v>
      </c>
      <c r="U26" s="38">
        <v>0</v>
      </c>
      <c r="V26" s="144">
        <f t="shared" si="12"/>
        <v>2.8182379045860111E-2</v>
      </c>
      <c r="W26" s="145"/>
      <c r="X26" s="46"/>
      <c r="Y26" s="38">
        <f t="shared" si="13"/>
        <v>2.8182379045860111E-2</v>
      </c>
      <c r="Z26" s="38">
        <f t="shared" si="5"/>
        <v>0.22879163679160644</v>
      </c>
      <c r="AA26" s="38"/>
      <c r="AB26" s="115">
        <f t="shared" si="6"/>
        <v>4.3507891338302915</v>
      </c>
      <c r="AC26" s="115"/>
      <c r="AD26" s="39">
        <f t="shared" si="7"/>
        <v>4.4000000000000004</v>
      </c>
      <c r="AL26" s="85"/>
      <c r="AM26" s="52"/>
    </row>
    <row r="27" spans="1:39" ht="13.5" customHeight="1" x14ac:dyDescent="0.25">
      <c r="A27" s="23">
        <f t="shared" si="17"/>
        <v>140</v>
      </c>
      <c r="B27" s="144">
        <f t="shared" si="9"/>
        <v>5.185185185185186</v>
      </c>
      <c r="C27" s="145"/>
      <c r="D27" s="144">
        <f t="shared" si="14"/>
        <v>1.0769230769230771</v>
      </c>
      <c r="E27" s="145"/>
      <c r="F27" s="144">
        <f t="shared" si="0"/>
        <v>5.3551851851851859</v>
      </c>
      <c r="G27" s="145"/>
      <c r="H27" s="46"/>
      <c r="I27" s="38">
        <f t="shared" si="15"/>
        <v>0.18673490559513103</v>
      </c>
      <c r="J27" s="144">
        <f t="shared" si="1"/>
        <v>1.246923076923077</v>
      </c>
      <c r="K27" s="145"/>
      <c r="L27" s="38">
        <f t="shared" si="16"/>
        <v>0.80197409006785925</v>
      </c>
      <c r="M27" s="144">
        <f t="shared" si="10"/>
        <v>5.3551851851851859</v>
      </c>
      <c r="N27" s="145"/>
      <c r="O27" s="144">
        <f t="shared" si="2"/>
        <v>5.3551851851851859</v>
      </c>
      <c r="P27" s="145"/>
      <c r="Q27" s="45">
        <f t="shared" si="3"/>
        <v>0</v>
      </c>
      <c r="R27" s="38">
        <f t="shared" si="4"/>
        <v>5.3551851851851859</v>
      </c>
      <c r="S27" s="38">
        <f t="shared" si="11"/>
        <v>0.18673490559513103</v>
      </c>
      <c r="T27" s="38">
        <v>0</v>
      </c>
      <c r="U27" s="38">
        <v>0</v>
      </c>
      <c r="V27" s="144">
        <f t="shared" si="12"/>
        <v>2.6297314841103266E-2</v>
      </c>
      <c r="W27" s="145"/>
      <c r="X27" s="46"/>
      <c r="Y27" s="38">
        <f t="shared" si="13"/>
        <v>2.6297314841103266E-2</v>
      </c>
      <c r="Z27" s="38">
        <f t="shared" si="5"/>
        <v>0.21303222043623429</v>
      </c>
      <c r="AA27" s="38"/>
      <c r="AB27" s="115">
        <f t="shared" si="6"/>
        <v>4.6741256019970194</v>
      </c>
      <c r="AC27" s="115"/>
      <c r="AD27" s="39">
        <f t="shared" si="7"/>
        <v>4.7</v>
      </c>
      <c r="AL27" s="85"/>
      <c r="AM27" s="52"/>
    </row>
    <row r="28" spans="1:39" ht="13.5" customHeight="1" x14ac:dyDescent="0.25">
      <c r="A28" s="23">
        <f t="shared" si="17"/>
        <v>150</v>
      </c>
      <c r="B28" s="144">
        <f t="shared" si="9"/>
        <v>5.5555555555555554</v>
      </c>
      <c r="C28" s="145"/>
      <c r="D28" s="144">
        <f t="shared" si="14"/>
        <v>1.1538461538461537</v>
      </c>
      <c r="E28" s="145"/>
      <c r="F28" s="144">
        <f t="shared" si="0"/>
        <v>5.7255555555555553</v>
      </c>
      <c r="G28" s="145"/>
      <c r="H28" s="46"/>
      <c r="I28" s="38">
        <f t="shared" si="15"/>
        <v>0.17465554046186688</v>
      </c>
      <c r="J28" s="144">
        <f t="shared" si="1"/>
        <v>1.3238461538461537</v>
      </c>
      <c r="K28" s="145"/>
      <c r="L28" s="38">
        <f t="shared" si="16"/>
        <v>0.75537478210342834</v>
      </c>
      <c r="M28" s="144">
        <f t="shared" si="10"/>
        <v>5.7255555555555553</v>
      </c>
      <c r="N28" s="145"/>
      <c r="O28" s="144">
        <f t="shared" si="2"/>
        <v>5.7255555555555553</v>
      </c>
      <c r="P28" s="145"/>
      <c r="Q28" s="45">
        <f t="shared" si="3"/>
        <v>0</v>
      </c>
      <c r="R28" s="38">
        <f t="shared" si="4"/>
        <v>5.7255555555555553</v>
      </c>
      <c r="S28" s="38">
        <f t="shared" si="11"/>
        <v>0.17465554046186688</v>
      </c>
      <c r="T28" s="38">
        <v>0</v>
      </c>
      <c r="U28" s="38">
        <v>0</v>
      </c>
      <c r="V28" s="144">
        <f t="shared" si="12"/>
        <v>2.4648378274061671E-2</v>
      </c>
      <c r="W28" s="145"/>
      <c r="X28" s="46"/>
      <c r="Y28" s="38">
        <f t="shared" si="13"/>
        <v>2.4648378274061671E-2</v>
      </c>
      <c r="Z28" s="38">
        <f t="shared" si="5"/>
        <v>0.19930391873592854</v>
      </c>
      <c r="AA28" s="38"/>
      <c r="AB28" s="115">
        <f t="shared" si="6"/>
        <v>4.9974628092735536</v>
      </c>
      <c r="AC28" s="115"/>
      <c r="AD28" s="39">
        <f t="shared" si="7"/>
        <v>5</v>
      </c>
      <c r="AL28" s="85"/>
      <c r="AM28" s="52"/>
    </row>
    <row r="29" spans="1:39" ht="13.5" customHeight="1" x14ac:dyDescent="0.25">
      <c r="A29" s="23">
        <f>+A28+10</f>
        <v>160</v>
      </c>
      <c r="B29" s="144">
        <f t="shared" si="9"/>
        <v>5.9259259259259265</v>
      </c>
      <c r="C29" s="145"/>
      <c r="D29" s="144">
        <f t="shared" si="14"/>
        <v>1.2307692307692308</v>
      </c>
      <c r="E29" s="145"/>
      <c r="F29" s="144">
        <f t="shared" si="0"/>
        <v>6.0959259259259264</v>
      </c>
      <c r="G29" s="145"/>
      <c r="H29" s="46"/>
      <c r="I29" s="38">
        <f t="shared" si="15"/>
        <v>0.1640439880916216</v>
      </c>
      <c r="J29" s="144">
        <f t="shared" si="1"/>
        <v>1.4007692307692308</v>
      </c>
      <c r="K29" s="145"/>
      <c r="L29" s="38">
        <f t="shared" si="16"/>
        <v>0.71389346512904994</v>
      </c>
      <c r="M29" s="144">
        <f t="shared" si="10"/>
        <v>6.0959259259259264</v>
      </c>
      <c r="N29" s="145"/>
      <c r="O29" s="144">
        <f t="shared" si="2"/>
        <v>6.0959259259259264</v>
      </c>
      <c r="P29" s="145"/>
      <c r="Q29" s="45">
        <f t="shared" si="3"/>
        <v>0</v>
      </c>
      <c r="R29" s="38">
        <f t="shared" si="4"/>
        <v>6.0959259259259264</v>
      </c>
      <c r="S29" s="38">
        <f t="shared" si="11"/>
        <v>0.1640439880916216</v>
      </c>
      <c r="T29" s="38">
        <v>0</v>
      </c>
      <c r="U29" s="38">
        <v>0</v>
      </c>
      <c r="V29" s="144">
        <f t="shared" si="12"/>
        <v>2.3193857142403681E-2</v>
      </c>
      <c r="W29" s="145"/>
      <c r="X29" s="46"/>
      <c r="Y29" s="38">
        <f t="shared" si="13"/>
        <v>2.3193857142403681E-2</v>
      </c>
      <c r="Z29" s="38">
        <f t="shared" si="5"/>
        <v>0.18723784523402529</v>
      </c>
      <c r="AA29" s="38"/>
      <c r="AB29" s="115">
        <f t="shared" si="6"/>
        <v>5.3208006204628004</v>
      </c>
      <c r="AC29" s="115"/>
      <c r="AD29" s="39">
        <f t="shared" si="7"/>
        <v>5.3</v>
      </c>
      <c r="AL29" s="85"/>
      <c r="AM29" s="52"/>
    </row>
    <row r="30" spans="1:39" ht="13.5" customHeight="1" x14ac:dyDescent="0.25">
      <c r="A30" s="23">
        <f t="shared" si="17"/>
        <v>170</v>
      </c>
      <c r="B30" s="144">
        <f t="shared" si="9"/>
        <v>6.2962962962962967</v>
      </c>
      <c r="C30" s="145"/>
      <c r="D30" s="144">
        <f t="shared" si="14"/>
        <v>1.3076923076923077</v>
      </c>
      <c r="E30" s="145"/>
      <c r="F30" s="144">
        <f t="shared" si="0"/>
        <v>6.4662962962962967</v>
      </c>
      <c r="G30" s="145"/>
      <c r="H30" s="46"/>
      <c r="I30" s="38">
        <f t="shared" si="15"/>
        <v>0.15464803253336387</v>
      </c>
      <c r="J30" s="144">
        <f t="shared" si="1"/>
        <v>1.4776923076923076</v>
      </c>
      <c r="K30" s="145"/>
      <c r="L30" s="38">
        <f t="shared" si="16"/>
        <v>0.67673086933888604</v>
      </c>
      <c r="M30" s="144">
        <f t="shared" si="10"/>
        <v>6.4662962962962967</v>
      </c>
      <c r="N30" s="145"/>
      <c r="O30" s="144">
        <f t="shared" si="2"/>
        <v>6.4662962962962967</v>
      </c>
      <c r="P30" s="145"/>
      <c r="Q30" s="45">
        <f t="shared" si="3"/>
        <v>0</v>
      </c>
      <c r="R30" s="38">
        <f t="shared" si="4"/>
        <v>6.4662962962962967</v>
      </c>
      <c r="S30" s="38">
        <f t="shared" si="11"/>
        <v>0.15464803253336387</v>
      </c>
      <c r="T30" s="38">
        <v>0</v>
      </c>
      <c r="U30" s="38">
        <v>0</v>
      </c>
      <c r="V30" s="144">
        <f t="shared" si="12"/>
        <v>2.1901309229458838E-2</v>
      </c>
      <c r="W30" s="145"/>
      <c r="X30" s="46"/>
      <c r="Y30" s="38">
        <f t="shared" si="13"/>
        <v>2.1901309229458838E-2</v>
      </c>
      <c r="Z30" s="38">
        <f t="shared" si="5"/>
        <v>0.17654934176282272</v>
      </c>
      <c r="AA30" s="38"/>
      <c r="AB30" s="115">
        <f t="shared" si="6"/>
        <v>5.6441389314461743</v>
      </c>
      <c r="AC30" s="115"/>
      <c r="AD30" s="39">
        <f t="shared" si="7"/>
        <v>5.6</v>
      </c>
      <c r="AL30" s="85"/>
      <c r="AM30" s="52"/>
    </row>
    <row r="31" spans="1:39" ht="13.5" customHeight="1" x14ac:dyDescent="0.25">
      <c r="A31" s="23">
        <f t="shared" si="17"/>
        <v>180</v>
      </c>
      <c r="B31" s="144">
        <f t="shared" si="9"/>
        <v>6.6666666666666661</v>
      </c>
      <c r="C31" s="145"/>
      <c r="D31" s="144">
        <f t="shared" si="14"/>
        <v>1.3846153846153846</v>
      </c>
      <c r="E31" s="145"/>
      <c r="F31" s="144">
        <f t="shared" si="0"/>
        <v>6.836666666666666</v>
      </c>
      <c r="G31" s="145"/>
      <c r="H31" s="46"/>
      <c r="I31" s="38">
        <f t="shared" si="15"/>
        <v>0.14627011214041932</v>
      </c>
      <c r="J31" s="144">
        <f t="shared" si="1"/>
        <v>1.5546153846153845</v>
      </c>
      <c r="K31" s="145"/>
      <c r="L31" s="38">
        <f t="shared" si="16"/>
        <v>0.64324591786244434</v>
      </c>
      <c r="M31" s="144">
        <f t="shared" si="10"/>
        <v>6.836666666666666</v>
      </c>
      <c r="N31" s="145"/>
      <c r="O31" s="144">
        <f t="shared" si="2"/>
        <v>6.836666666666666</v>
      </c>
      <c r="P31" s="145"/>
      <c r="Q31" s="45">
        <f t="shared" si="3"/>
        <v>0</v>
      </c>
      <c r="R31" s="38">
        <f t="shared" si="4"/>
        <v>6.836666666666666</v>
      </c>
      <c r="S31" s="38">
        <f t="shared" si="11"/>
        <v>0.14627011214041932</v>
      </c>
      <c r="T31" s="38">
        <v>0</v>
      </c>
      <c r="U31" s="38">
        <v>0</v>
      </c>
      <c r="V31" s="144">
        <f t="shared" si="12"/>
        <v>2.0745124769312919E-2</v>
      </c>
      <c r="W31" s="145"/>
      <c r="X31" s="46"/>
      <c r="Y31" s="38">
        <f t="shared" si="13"/>
        <v>2.0745124769312919E-2</v>
      </c>
      <c r="Z31" s="38">
        <f t="shared" si="5"/>
        <v>0.16701523690973225</v>
      </c>
      <c r="AA31" s="38"/>
      <c r="AB31" s="115">
        <f t="shared" si="6"/>
        <v>5.9674776607386804</v>
      </c>
      <c r="AC31" s="115"/>
      <c r="AD31" s="39">
        <f t="shared" si="7"/>
        <v>6</v>
      </c>
      <c r="AL31" s="85"/>
      <c r="AM31" s="52"/>
    </row>
    <row r="32" spans="1:39" ht="13.5" customHeight="1" x14ac:dyDescent="0.25">
      <c r="A32" s="23">
        <f t="shared" si="17"/>
        <v>190</v>
      </c>
      <c r="B32" s="144">
        <f t="shared" si="9"/>
        <v>7.0370370370370372</v>
      </c>
      <c r="C32" s="145"/>
      <c r="D32" s="144">
        <f t="shared" si="14"/>
        <v>1.4615384615384615</v>
      </c>
      <c r="E32" s="145"/>
      <c r="F32" s="144">
        <f t="shared" si="0"/>
        <v>7.2070370370370371</v>
      </c>
      <c r="G32" s="145"/>
      <c r="H32" s="46"/>
      <c r="I32" s="38">
        <f t="shared" si="15"/>
        <v>0.13875327611901947</v>
      </c>
      <c r="J32" s="144">
        <f t="shared" si="1"/>
        <v>1.6315384615384614</v>
      </c>
      <c r="K32" s="145"/>
      <c r="L32" s="38">
        <f t="shared" si="16"/>
        <v>0.61291843470061302</v>
      </c>
      <c r="M32" s="144">
        <f t="shared" si="10"/>
        <v>7.2070370370370371</v>
      </c>
      <c r="N32" s="145"/>
      <c r="O32" s="144">
        <f t="shared" si="2"/>
        <v>7.2070370370370371</v>
      </c>
      <c r="P32" s="145"/>
      <c r="Q32" s="45">
        <f t="shared" si="3"/>
        <v>0</v>
      </c>
      <c r="R32" s="38">
        <f t="shared" si="4"/>
        <v>7.2070370370370371</v>
      </c>
      <c r="S32" s="38">
        <f t="shared" si="11"/>
        <v>0.13875327611901947</v>
      </c>
      <c r="T32" s="38">
        <v>0</v>
      </c>
      <c r="U32" s="38">
        <v>0</v>
      </c>
      <c r="V32" s="144">
        <f t="shared" si="12"/>
        <v>1.9704819024576669E-2</v>
      </c>
      <c r="W32" s="145"/>
      <c r="X32" s="46"/>
      <c r="Y32" s="38">
        <f t="shared" si="13"/>
        <v>1.9704819024576669E-2</v>
      </c>
      <c r="Z32" s="38">
        <f t="shared" si="5"/>
        <v>0.15845809514359613</v>
      </c>
      <c r="AA32" s="38"/>
      <c r="AB32" s="115">
        <f t="shared" si="6"/>
        <v>6.2908167436557356</v>
      </c>
      <c r="AC32" s="115"/>
      <c r="AD32" s="39">
        <f t="shared" si="7"/>
        <v>6.3</v>
      </c>
      <c r="AL32" s="85"/>
      <c r="AM32" s="52"/>
    </row>
    <row r="33" spans="1:39" ht="13.5" customHeight="1" x14ac:dyDescent="0.25">
      <c r="A33" s="23">
        <f t="shared" si="17"/>
        <v>200</v>
      </c>
      <c r="B33" s="144">
        <f t="shared" si="9"/>
        <v>7.4074074074074083</v>
      </c>
      <c r="C33" s="145"/>
      <c r="D33" s="144">
        <f t="shared" si="14"/>
        <v>1.5384615384615385</v>
      </c>
      <c r="E33" s="145"/>
      <c r="F33" s="144">
        <f t="shared" si="0"/>
        <v>7.5774074074074083</v>
      </c>
      <c r="G33" s="145"/>
      <c r="H33" s="46"/>
      <c r="I33" s="38">
        <f t="shared" si="15"/>
        <v>0.13197125959235542</v>
      </c>
      <c r="J33" s="144">
        <f t="shared" si="1"/>
        <v>1.7084615384615385</v>
      </c>
      <c r="K33" s="145"/>
      <c r="L33" s="38">
        <f t="shared" si="16"/>
        <v>0.58532192705988295</v>
      </c>
      <c r="M33" s="144">
        <f t="shared" si="10"/>
        <v>7.5774074074074083</v>
      </c>
      <c r="N33" s="145"/>
      <c r="O33" s="144">
        <f t="shared" si="2"/>
        <v>7.5774074074074083</v>
      </c>
      <c r="P33" s="145"/>
      <c r="Q33" s="45">
        <f t="shared" si="3"/>
        <v>0</v>
      </c>
      <c r="R33" s="38">
        <f t="shared" si="4"/>
        <v>7.5774074074074083</v>
      </c>
      <c r="S33" s="38">
        <f t="shared" si="11"/>
        <v>0.13197125959235542</v>
      </c>
      <c r="T33" s="38">
        <v>0</v>
      </c>
      <c r="U33" s="38">
        <v>0</v>
      </c>
      <c r="V33" s="144">
        <f t="shared" si="12"/>
        <v>1.8763812160017206E-2</v>
      </c>
      <c r="W33" s="145"/>
      <c r="X33" s="46"/>
      <c r="Y33" s="38">
        <f t="shared" si="13"/>
        <v>1.8763812160017206E-2</v>
      </c>
      <c r="Z33" s="38">
        <f t="shared" si="5"/>
        <v>0.15073507175237263</v>
      </c>
      <c r="AA33" s="38"/>
      <c r="AB33" s="115">
        <f t="shared" si="6"/>
        <v>6.6141561281955576</v>
      </c>
      <c r="AC33" s="115"/>
      <c r="AD33" s="39">
        <f t="shared" si="7"/>
        <v>6.6</v>
      </c>
      <c r="AL33" s="85"/>
      <c r="AM33" s="52"/>
    </row>
    <row r="34" spans="1:39" ht="13.5" customHeight="1" x14ac:dyDescent="0.25">
      <c r="A34" s="23">
        <f t="shared" si="17"/>
        <v>210</v>
      </c>
      <c r="B34" s="144">
        <f t="shared" si="9"/>
        <v>7.7777777777777777</v>
      </c>
      <c r="C34" s="145"/>
      <c r="D34" s="144">
        <f t="shared" si="14"/>
        <v>1.6153846153846152</v>
      </c>
      <c r="E34" s="145"/>
      <c r="F34" s="144">
        <f t="shared" si="0"/>
        <v>7.9477777777777776</v>
      </c>
      <c r="G34" s="145"/>
      <c r="H34" s="46"/>
      <c r="I34" s="38">
        <f t="shared" si="15"/>
        <v>0.12582133370613729</v>
      </c>
      <c r="J34" s="144">
        <f t="shared" si="1"/>
        <v>1.7853846153846151</v>
      </c>
      <c r="K34" s="145"/>
      <c r="L34" s="38">
        <f t="shared" si="16"/>
        <v>0.56010340370529954</v>
      </c>
      <c r="M34" s="144">
        <f t="shared" si="10"/>
        <v>7.9477777777777767</v>
      </c>
      <c r="N34" s="145"/>
      <c r="O34" s="144">
        <f t="shared" si="2"/>
        <v>7.9477777777777776</v>
      </c>
      <c r="P34" s="145"/>
      <c r="Q34" s="45">
        <f t="shared" si="3"/>
        <v>0</v>
      </c>
      <c r="R34" s="38">
        <f t="shared" si="4"/>
        <v>7.9477777777777776</v>
      </c>
      <c r="S34" s="38">
        <f t="shared" si="11"/>
        <v>0.12582133370613729</v>
      </c>
      <c r="T34" s="38">
        <v>0</v>
      </c>
      <c r="U34" s="38">
        <v>0</v>
      </c>
      <c r="V34" s="144">
        <f t="shared" si="12"/>
        <v>1.790854163399775E-2</v>
      </c>
      <c r="W34" s="145"/>
      <c r="X34" s="46"/>
      <c r="Y34" s="38">
        <f t="shared" si="13"/>
        <v>1.790854163399775E-2</v>
      </c>
      <c r="Z34" s="38">
        <f t="shared" si="5"/>
        <v>0.14372987534013504</v>
      </c>
      <c r="AA34" s="38"/>
      <c r="AB34" s="115">
        <f t="shared" si="6"/>
        <v>6.9374957720759998</v>
      </c>
      <c r="AC34" s="115"/>
      <c r="AD34" s="39">
        <f t="shared" si="7"/>
        <v>6.9</v>
      </c>
      <c r="AL34" s="85"/>
      <c r="AM34" s="52"/>
    </row>
    <row r="35" spans="1:39" ht="13.5" customHeight="1" x14ac:dyDescent="0.25">
      <c r="A35" s="41">
        <f t="shared" si="17"/>
        <v>220</v>
      </c>
      <c r="B35" s="136">
        <f t="shared" si="9"/>
        <v>8.1481481481481488</v>
      </c>
      <c r="C35" s="137"/>
      <c r="D35" s="136">
        <f t="shared" si="14"/>
        <v>1.6923076923076923</v>
      </c>
      <c r="E35" s="137"/>
      <c r="F35" s="144">
        <f t="shared" si="0"/>
        <v>8.3181481481481487</v>
      </c>
      <c r="G35" s="145"/>
      <c r="H35" s="47"/>
      <c r="I35" s="48">
        <f t="shared" si="15"/>
        <v>0.12021906585333274</v>
      </c>
      <c r="J35" s="144">
        <f t="shared" si="1"/>
        <v>1.8623076923076922</v>
      </c>
      <c r="K35" s="145"/>
      <c r="L35" s="48">
        <f t="shared" si="16"/>
        <v>0.53696819496076009</v>
      </c>
      <c r="M35" s="136">
        <f t="shared" si="10"/>
        <v>8.3181481481481487</v>
      </c>
      <c r="N35" s="137"/>
      <c r="O35" s="144">
        <f t="shared" si="2"/>
        <v>8.3181481481481487</v>
      </c>
      <c r="P35" s="145"/>
      <c r="Q35" s="45">
        <f t="shared" si="3"/>
        <v>0</v>
      </c>
      <c r="R35" s="38">
        <f t="shared" si="4"/>
        <v>8.3181481481481487</v>
      </c>
      <c r="S35" s="48">
        <f t="shared" si="11"/>
        <v>0.12021906585333274</v>
      </c>
      <c r="T35" s="48">
        <v>0</v>
      </c>
      <c r="U35" s="48">
        <v>0</v>
      </c>
      <c r="V35" s="136">
        <f t="shared" si="12"/>
        <v>1.712780603984889E-2</v>
      </c>
      <c r="W35" s="137"/>
      <c r="X35" s="47"/>
      <c r="Y35" s="48">
        <f t="shared" si="13"/>
        <v>1.712780603984889E-2</v>
      </c>
      <c r="Z35" s="48">
        <f t="shared" si="5"/>
        <v>0.13734687189318162</v>
      </c>
      <c r="AA35" s="38"/>
      <c r="AB35" s="115">
        <f t="shared" si="6"/>
        <v>7.2608356405650589</v>
      </c>
      <c r="AC35" s="115"/>
      <c r="AD35" s="39">
        <f t="shared" si="7"/>
        <v>7.3</v>
      </c>
      <c r="AL35" s="85"/>
      <c r="AM35" s="52"/>
    </row>
    <row r="36" spans="1:39" x14ac:dyDescent="0.25">
      <c r="A36" s="138" t="s">
        <v>71</v>
      </c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1"/>
    </row>
    <row r="37" spans="1:39" x14ac:dyDescent="0.25">
      <c r="A37" s="139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3"/>
    </row>
    <row r="38" spans="1:39" x14ac:dyDescent="0.25">
      <c r="A38" s="139"/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3"/>
    </row>
  </sheetData>
  <sheetProtection selectLockedCells="1"/>
  <mergeCells count="204">
    <mergeCell ref="S1:AD2"/>
    <mergeCell ref="F2:G2"/>
    <mergeCell ref="A3:G3"/>
    <mergeCell ref="H3:K3"/>
    <mergeCell ref="M3:R3"/>
    <mergeCell ref="S3:AD5"/>
    <mergeCell ref="A4:G4"/>
    <mergeCell ref="H4:K4"/>
    <mergeCell ref="M4:R4"/>
    <mergeCell ref="A5:I5"/>
    <mergeCell ref="J5:K5"/>
    <mergeCell ref="M5:R5"/>
    <mergeCell ref="A8:A16"/>
    <mergeCell ref="B8:C12"/>
    <mergeCell ref="D8:E12"/>
    <mergeCell ref="F8:H12"/>
    <mergeCell ref="I8:I12"/>
    <mergeCell ref="J8:K12"/>
    <mergeCell ref="A1:G1"/>
    <mergeCell ref="I1:P2"/>
    <mergeCell ref="Q1:R2"/>
    <mergeCell ref="O6:P6"/>
    <mergeCell ref="V6:X6"/>
    <mergeCell ref="AA6:AC6"/>
    <mergeCell ref="B7:C7"/>
    <mergeCell ref="F7:H7"/>
    <mergeCell ref="J7:K7"/>
    <mergeCell ref="M7:N7"/>
    <mergeCell ref="O7:P7"/>
    <mergeCell ref="V7:X7"/>
    <mergeCell ref="AA7:AC7"/>
    <mergeCell ref="B6:C6"/>
    <mergeCell ref="D6:E6"/>
    <mergeCell ref="F6:H6"/>
    <mergeCell ref="J6:K6"/>
    <mergeCell ref="M6:N6"/>
    <mergeCell ref="Z8:Z12"/>
    <mergeCell ref="AA8:AC12"/>
    <mergeCell ref="AD8:AD12"/>
    <mergeCell ref="M12:M14"/>
    <mergeCell ref="N12:N14"/>
    <mergeCell ref="I13:I16"/>
    <mergeCell ref="J13:K15"/>
    <mergeCell ref="L13:L16"/>
    <mergeCell ref="O13:P13"/>
    <mergeCell ref="T13:T16"/>
    <mergeCell ref="S8:S14"/>
    <mergeCell ref="T8:T12"/>
    <mergeCell ref="U8:U12"/>
    <mergeCell ref="V8:W13"/>
    <mergeCell ref="X8:X13"/>
    <mergeCell ref="Y8:Y12"/>
    <mergeCell ref="U13:U16"/>
    <mergeCell ref="Y13:Y16"/>
    <mergeCell ref="L8:L12"/>
    <mergeCell ref="M8:M11"/>
    <mergeCell ref="N8:N11"/>
    <mergeCell ref="O8:P12"/>
    <mergeCell ref="Q8:Q14"/>
    <mergeCell ref="R8:R14"/>
    <mergeCell ref="Z13:Z16"/>
    <mergeCell ref="AD13:AD16"/>
    <mergeCell ref="B14:C16"/>
    <mergeCell ref="D14:E16"/>
    <mergeCell ref="M15:N16"/>
    <mergeCell ref="Q15:Q16"/>
    <mergeCell ref="R15:R16"/>
    <mergeCell ref="S15:S16"/>
    <mergeCell ref="G16:H16"/>
    <mergeCell ref="V17:W17"/>
    <mergeCell ref="B18:C18"/>
    <mergeCell ref="D18:E18"/>
    <mergeCell ref="F18:G18"/>
    <mergeCell ref="J18:K18"/>
    <mergeCell ref="M18:N18"/>
    <mergeCell ref="O18:P18"/>
    <mergeCell ref="V18:W18"/>
    <mergeCell ref="B17:C17"/>
    <mergeCell ref="D17:E17"/>
    <mergeCell ref="F17:G17"/>
    <mergeCell ref="J17:K17"/>
    <mergeCell ref="M17:N17"/>
    <mergeCell ref="O17:P17"/>
    <mergeCell ref="V19:W19"/>
    <mergeCell ref="B20:C20"/>
    <mergeCell ref="D20:E20"/>
    <mergeCell ref="F20:G20"/>
    <mergeCell ref="J20:K20"/>
    <mergeCell ref="M20:N20"/>
    <mergeCell ref="O20:P20"/>
    <mergeCell ref="V20:W20"/>
    <mergeCell ref="B19:C19"/>
    <mergeCell ref="D19:E19"/>
    <mergeCell ref="F19:G19"/>
    <mergeCell ref="J19:K19"/>
    <mergeCell ref="M19:N19"/>
    <mergeCell ref="O19:P19"/>
    <mergeCell ref="V21:W21"/>
    <mergeCell ref="B22:C22"/>
    <mergeCell ref="D22:E22"/>
    <mergeCell ref="F22:G22"/>
    <mergeCell ref="J22:K22"/>
    <mergeCell ref="M22:N22"/>
    <mergeCell ref="O22:P22"/>
    <mergeCell ref="V22:W22"/>
    <mergeCell ref="B21:C21"/>
    <mergeCell ref="D21:E21"/>
    <mergeCell ref="F21:G21"/>
    <mergeCell ref="J21:K21"/>
    <mergeCell ref="M21:N21"/>
    <mergeCell ref="O21:P21"/>
    <mergeCell ref="V23:W23"/>
    <mergeCell ref="B24:C24"/>
    <mergeCell ref="D24:E24"/>
    <mergeCell ref="F24:G24"/>
    <mergeCell ref="J24:K24"/>
    <mergeCell ref="M24:N24"/>
    <mergeCell ref="O24:P24"/>
    <mergeCell ref="V24:W24"/>
    <mergeCell ref="B23:C23"/>
    <mergeCell ref="D23:E23"/>
    <mergeCell ref="F23:G23"/>
    <mergeCell ref="J23:K23"/>
    <mergeCell ref="M23:N23"/>
    <mergeCell ref="O23:P23"/>
    <mergeCell ref="V25:W25"/>
    <mergeCell ref="B26:C26"/>
    <mergeCell ref="D26:E26"/>
    <mergeCell ref="F26:G26"/>
    <mergeCell ref="J26:K26"/>
    <mergeCell ref="M26:N26"/>
    <mergeCell ref="O26:P26"/>
    <mergeCell ref="V26:W26"/>
    <mergeCell ref="B25:C25"/>
    <mergeCell ref="D25:E25"/>
    <mergeCell ref="F25:G25"/>
    <mergeCell ref="J25:K25"/>
    <mergeCell ref="M25:N25"/>
    <mergeCell ref="O25:P25"/>
    <mergeCell ref="V27:W27"/>
    <mergeCell ref="B28:C28"/>
    <mergeCell ref="D28:E28"/>
    <mergeCell ref="F28:G28"/>
    <mergeCell ref="J28:K28"/>
    <mergeCell ref="M28:N28"/>
    <mergeCell ref="O28:P28"/>
    <mergeCell ref="V28:W28"/>
    <mergeCell ref="B27:C27"/>
    <mergeCell ref="D27:E27"/>
    <mergeCell ref="F27:G27"/>
    <mergeCell ref="J27:K27"/>
    <mergeCell ref="M27:N27"/>
    <mergeCell ref="O27:P27"/>
    <mergeCell ref="V29:W29"/>
    <mergeCell ref="B30:C30"/>
    <mergeCell ref="D30:E30"/>
    <mergeCell ref="F30:G30"/>
    <mergeCell ref="J30:K30"/>
    <mergeCell ref="M30:N30"/>
    <mergeCell ref="O30:P30"/>
    <mergeCell ref="V30:W30"/>
    <mergeCell ref="B29:C29"/>
    <mergeCell ref="D29:E29"/>
    <mergeCell ref="F29:G29"/>
    <mergeCell ref="J29:K29"/>
    <mergeCell ref="M29:N29"/>
    <mergeCell ref="O29:P29"/>
    <mergeCell ref="V31:W31"/>
    <mergeCell ref="B32:C32"/>
    <mergeCell ref="D32:E32"/>
    <mergeCell ref="F32:G32"/>
    <mergeCell ref="J32:K32"/>
    <mergeCell ref="M32:N32"/>
    <mergeCell ref="O32:P32"/>
    <mergeCell ref="V32:W32"/>
    <mergeCell ref="B31:C31"/>
    <mergeCell ref="D31:E31"/>
    <mergeCell ref="F31:G31"/>
    <mergeCell ref="J31:K31"/>
    <mergeCell ref="M31:N31"/>
    <mergeCell ref="O31:P31"/>
    <mergeCell ref="V33:W33"/>
    <mergeCell ref="B34:C34"/>
    <mergeCell ref="D34:E34"/>
    <mergeCell ref="F34:G34"/>
    <mergeCell ref="J34:K34"/>
    <mergeCell ref="M34:N34"/>
    <mergeCell ref="O34:P34"/>
    <mergeCell ref="V34:W34"/>
    <mergeCell ref="B33:C33"/>
    <mergeCell ref="D33:E33"/>
    <mergeCell ref="F33:G33"/>
    <mergeCell ref="J33:K33"/>
    <mergeCell ref="M33:N33"/>
    <mergeCell ref="O33:P33"/>
    <mergeCell ref="V35:W35"/>
    <mergeCell ref="A36:A38"/>
    <mergeCell ref="B36:AD38"/>
    <mergeCell ref="B35:C35"/>
    <mergeCell ref="D35:E35"/>
    <mergeCell ref="F35:G35"/>
    <mergeCell ref="J35:K35"/>
    <mergeCell ref="M35:N35"/>
    <mergeCell ref="O35:P35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Drop Down 1">
              <controlPr defaultSize="0" autoLine="0" autoPict="0">
                <anchor moveWithCells="1" sizeWithCells="1">
                  <from>
                    <xdr:col>3</xdr:col>
                    <xdr:colOff>9525</xdr:colOff>
                    <xdr:row>0</xdr:row>
                    <xdr:rowOff>0</xdr:rowOff>
                  </from>
                  <to>
                    <xdr:col>7</xdr:col>
                    <xdr:colOff>552450</xdr:colOff>
                    <xdr:row>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Drop Down 2">
              <controlPr defaultSize="0" autoLine="0" autoPict="0">
                <anchor moveWithCells="1" sizeWithCells="1">
                  <from>
                    <xdr:col>3</xdr:col>
                    <xdr:colOff>9525</xdr:colOff>
                    <xdr:row>2</xdr:row>
                    <xdr:rowOff>0</xdr:rowOff>
                  </from>
                  <to>
                    <xdr:col>7</xdr:col>
                    <xdr:colOff>19050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Drop Down 3">
              <controlPr defaultSize="0" autoLine="0" autoPict="0">
                <anchor moveWithCells="1" sizeWithCells="1">
                  <from>
                    <xdr:col>8</xdr:col>
                    <xdr:colOff>133350</xdr:colOff>
                    <xdr:row>3</xdr:row>
                    <xdr:rowOff>219075</xdr:rowOff>
                  </from>
                  <to>
                    <xdr:col>9</xdr:col>
                    <xdr:colOff>19050</xdr:colOff>
                    <xdr:row>4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D351A-B69A-4F1B-A13C-88E89CAF4066}">
  <dimension ref="A1:AP41"/>
  <sheetViews>
    <sheetView zoomScaleNormal="100" workbookViewId="0">
      <selection activeCell="Q1" sqref="Q1:R2"/>
    </sheetView>
  </sheetViews>
  <sheetFormatPr defaultColWidth="8.7109375" defaultRowHeight="15" x14ac:dyDescent="0.25"/>
  <cols>
    <col min="1" max="1" width="4.5703125" style="23" customWidth="1"/>
    <col min="2" max="2" width="4.140625" style="23" customWidth="1"/>
    <col min="3" max="3" width="9.140625" style="23" customWidth="1"/>
    <col min="4" max="4" width="4.42578125" style="23" customWidth="1"/>
    <col min="5" max="5" width="7.85546875" style="23" customWidth="1"/>
    <col min="6" max="6" width="4.140625" style="23" customWidth="1"/>
    <col min="7" max="7" width="4.42578125" style="23" customWidth="1"/>
    <col min="8" max="8" width="8.28515625" style="23" bestFit="1" customWidth="1"/>
    <col min="9" max="9" width="8.7109375" style="23"/>
    <col min="10" max="10" width="4.140625" style="23" customWidth="1"/>
    <col min="11" max="11" width="8.42578125" style="23" customWidth="1"/>
    <col min="12" max="12" width="7.7109375" style="23" customWidth="1"/>
    <col min="13" max="13" width="9.140625" style="23" customWidth="1"/>
    <col min="14" max="14" width="3.85546875" style="23" customWidth="1"/>
    <col min="15" max="15" width="7.140625" style="23" customWidth="1"/>
    <col min="16" max="16" width="4.5703125" style="23" customWidth="1"/>
    <col min="17" max="17" width="8.140625" style="23" customWidth="1"/>
    <col min="18" max="18" width="8.7109375" style="23"/>
    <col min="19" max="21" width="7" style="23" customWidth="1"/>
    <col min="22" max="22" width="4.140625" style="23" customWidth="1"/>
    <col min="23" max="23" width="9.28515625" style="23" customWidth="1"/>
    <col min="24" max="24" width="8.28515625" style="23" customWidth="1"/>
    <col min="25" max="26" width="7.140625" style="23" customWidth="1"/>
    <col min="27" max="27" width="5.42578125" style="23" customWidth="1"/>
    <col min="28" max="28" width="5.85546875" style="23" customWidth="1"/>
    <col min="29" max="29" width="6.28515625" style="23" customWidth="1"/>
    <col min="30" max="30" width="7.28515625" style="23" customWidth="1"/>
    <col min="31" max="31" width="8.7109375" style="23" hidden="1" customWidth="1"/>
    <col min="32" max="32" width="31.5703125" style="23" hidden="1" customWidth="1"/>
    <col min="33" max="36" width="8.7109375" style="23" hidden="1" customWidth="1"/>
    <col min="37" max="37" width="0" style="23" hidden="1" customWidth="1"/>
    <col min="38" max="16384" width="8.7109375" style="23"/>
  </cols>
  <sheetData>
    <row r="1" spans="1:42" s="21" customFormat="1" ht="17.45" customHeight="1" x14ac:dyDescent="0.25">
      <c r="A1" s="226" t="s">
        <v>72</v>
      </c>
      <c r="B1" s="226"/>
      <c r="C1" s="226"/>
      <c r="D1" s="226"/>
      <c r="E1" s="226"/>
      <c r="F1" s="226"/>
      <c r="G1" s="226"/>
      <c r="H1" s="20"/>
      <c r="I1" s="240" t="s">
        <v>127</v>
      </c>
      <c r="J1" s="240"/>
      <c r="K1" s="240"/>
      <c r="L1" s="240"/>
      <c r="M1" s="240"/>
      <c r="N1" s="240"/>
      <c r="O1" s="240"/>
      <c r="P1" s="240"/>
      <c r="Q1" s="241" t="s">
        <v>101</v>
      </c>
      <c r="R1" s="241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17">
        <v>3</v>
      </c>
      <c r="AF1" s="17" t="s">
        <v>69</v>
      </c>
      <c r="AG1" s="21">
        <v>1</v>
      </c>
      <c r="AH1" s="22">
        <v>0.17</v>
      </c>
      <c r="AI1" s="22">
        <v>0</v>
      </c>
      <c r="AJ1" s="22">
        <v>0.15</v>
      </c>
      <c r="AL1" s="55"/>
      <c r="AO1" s="51"/>
      <c r="AP1" s="51"/>
    </row>
    <row r="2" spans="1:42" s="21" customFormat="1" ht="40.5" customHeight="1" x14ac:dyDescent="0.25">
      <c r="A2" s="43" t="s">
        <v>74</v>
      </c>
      <c r="B2" s="20"/>
      <c r="C2" s="20"/>
      <c r="D2" s="20"/>
      <c r="E2" s="20"/>
      <c r="F2" s="224">
        <v>2.7E-2</v>
      </c>
      <c r="G2" s="225"/>
      <c r="H2" s="91" t="s">
        <v>100</v>
      </c>
      <c r="I2" s="240"/>
      <c r="J2" s="240"/>
      <c r="K2" s="240"/>
      <c r="L2" s="240"/>
      <c r="M2" s="240"/>
      <c r="N2" s="240"/>
      <c r="O2" s="240"/>
      <c r="P2" s="240"/>
      <c r="Q2" s="241"/>
      <c r="R2" s="241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F2" s="17" t="s">
        <v>70</v>
      </c>
      <c r="AG2" s="21">
        <f>+AG1+1</f>
        <v>2</v>
      </c>
      <c r="AH2" s="22">
        <v>0.17</v>
      </c>
      <c r="AI2" s="22">
        <v>0.17</v>
      </c>
      <c r="AJ2" s="22">
        <v>0.15</v>
      </c>
      <c r="AL2" s="67" t="s">
        <v>84</v>
      </c>
      <c r="AM2" s="49"/>
      <c r="AN2" s="70"/>
      <c r="AO2" s="68" t="s">
        <v>76</v>
      </c>
      <c r="AP2" s="68" t="s">
        <v>77</v>
      </c>
    </row>
    <row r="3" spans="1:42" s="21" customFormat="1" ht="17.45" customHeight="1" x14ac:dyDescent="0.25">
      <c r="A3" s="226" t="s">
        <v>73</v>
      </c>
      <c r="B3" s="226"/>
      <c r="C3" s="226"/>
      <c r="D3" s="226"/>
      <c r="E3" s="226"/>
      <c r="F3" s="226"/>
      <c r="G3" s="226"/>
      <c r="H3" s="227"/>
      <c r="I3" s="227"/>
      <c r="J3" s="227"/>
      <c r="K3" s="227"/>
      <c r="L3" s="42">
        <v>5</v>
      </c>
      <c r="M3" s="228" t="str">
        <f>+IF(AE5=1,IF(ISBLANK(L3),"","geen waarde invullen"),IF(AND(AE5&gt;1,L3=0),"aantal bevestigers invullen","stuks/m²"))</f>
        <v>stuks/m²</v>
      </c>
      <c r="N3" s="228"/>
      <c r="O3" s="228"/>
      <c r="P3" s="228"/>
      <c r="Q3" s="228"/>
      <c r="R3" s="228"/>
      <c r="S3" s="229" t="s">
        <v>123</v>
      </c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F3" s="17" t="s">
        <v>46</v>
      </c>
      <c r="AG3" s="21">
        <f>+AG2+1</f>
        <v>3</v>
      </c>
      <c r="AH3" s="22">
        <v>0.13</v>
      </c>
      <c r="AI3" s="22">
        <v>0.04</v>
      </c>
      <c r="AJ3" s="22">
        <v>0.36</v>
      </c>
      <c r="AL3" s="59" t="s">
        <v>99</v>
      </c>
      <c r="AM3" s="59" t="s">
        <v>96</v>
      </c>
      <c r="AN3" s="71">
        <v>2.7E-2</v>
      </c>
      <c r="AO3" s="50"/>
      <c r="AP3" s="50"/>
    </row>
    <row r="4" spans="1:42" s="21" customFormat="1" ht="17.45" customHeight="1" x14ac:dyDescent="0.25">
      <c r="A4" s="232"/>
      <c r="B4" s="232"/>
      <c r="C4" s="232"/>
      <c r="D4" s="232"/>
      <c r="E4" s="232"/>
      <c r="F4" s="232"/>
      <c r="G4" s="232"/>
      <c r="H4" s="227" t="str">
        <f>+IF(AE5&gt;1,"diameter bevestiger","")</f>
        <v>diameter bevestiger</v>
      </c>
      <c r="I4" s="227"/>
      <c r="J4" s="227"/>
      <c r="K4" s="227"/>
      <c r="L4" s="42">
        <v>5</v>
      </c>
      <c r="M4" s="233" t="str">
        <f>+IF(AE5=1,IF(ISBLANK(L4),"","geen waarde invullen"),IF(AND(AE5&gt;1,L4=0),"diameter bevestigers invullen","mm"))</f>
        <v>mm</v>
      </c>
      <c r="N4" s="233"/>
      <c r="O4" s="233"/>
      <c r="P4" s="233"/>
      <c r="Q4" s="233"/>
      <c r="R4" s="233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F4" s="17" t="s">
        <v>47</v>
      </c>
      <c r="AG4" s="21">
        <f>+AG3+1</f>
        <v>4</v>
      </c>
      <c r="AH4" s="22">
        <v>0.1</v>
      </c>
      <c r="AI4" s="22">
        <v>0.04</v>
      </c>
      <c r="AJ4" s="22">
        <v>0.22</v>
      </c>
      <c r="AM4" s="21" t="s">
        <v>75</v>
      </c>
      <c r="AN4" s="50"/>
      <c r="AO4" s="69">
        <v>1</v>
      </c>
      <c r="AP4" s="69">
        <v>1</v>
      </c>
    </row>
    <row r="5" spans="1:42" s="21" customFormat="1" ht="17.45" customHeight="1" thickBot="1" x14ac:dyDescent="0.3">
      <c r="A5" s="234" t="s">
        <v>68</v>
      </c>
      <c r="B5" s="234"/>
      <c r="C5" s="234"/>
      <c r="D5" s="234"/>
      <c r="E5" s="234"/>
      <c r="F5" s="234"/>
      <c r="G5" s="234"/>
      <c r="H5" s="234"/>
      <c r="I5" s="234"/>
      <c r="J5" s="235" t="str">
        <f>+IF(AE8=1,"hout %","")</f>
        <v>hout %</v>
      </c>
      <c r="K5" s="235"/>
      <c r="L5" s="18">
        <v>6.5000000000000002E-2</v>
      </c>
      <c r="M5" s="236" t="str">
        <f>+IF(AE8=2,IF(ISBLANK(L5),"","geen waarde invullen"),IF(AND(AE8=1,ISNUMBER(L5),L5&gt;0),"","percentage invullen"))</f>
        <v/>
      </c>
      <c r="N5" s="236"/>
      <c r="O5" s="236"/>
      <c r="P5" s="236"/>
      <c r="Q5" s="236"/>
      <c r="R5" s="236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19">
        <v>2</v>
      </c>
      <c r="AF5" s="19" t="s">
        <v>57</v>
      </c>
      <c r="AG5" s="23">
        <v>1</v>
      </c>
      <c r="AH5" s="24" t="s">
        <v>62</v>
      </c>
      <c r="AI5" s="25" t="s">
        <v>60</v>
      </c>
      <c r="AM5" s="21" t="s">
        <v>97</v>
      </c>
      <c r="AN5" s="90">
        <f>AN3*AO4*AP4</f>
        <v>2.7E-2</v>
      </c>
      <c r="AO5" s="50"/>
      <c r="AP5" s="50"/>
    </row>
    <row r="6" spans="1:42" ht="13.5" customHeight="1" x14ac:dyDescent="0.25">
      <c r="A6" s="26" t="s">
        <v>63</v>
      </c>
      <c r="B6" s="149" t="s">
        <v>27</v>
      </c>
      <c r="C6" s="151"/>
      <c r="D6" s="149" t="s">
        <v>28</v>
      </c>
      <c r="E6" s="151"/>
      <c r="F6" s="149" t="s">
        <v>29</v>
      </c>
      <c r="G6" s="150"/>
      <c r="H6" s="151"/>
      <c r="I6" s="9" t="s">
        <v>30</v>
      </c>
      <c r="J6" s="149" t="s">
        <v>31</v>
      </c>
      <c r="K6" s="151"/>
      <c r="L6" s="13" t="s">
        <v>32</v>
      </c>
      <c r="M6" s="149" t="s">
        <v>33</v>
      </c>
      <c r="N6" s="150"/>
      <c r="O6" s="149" t="s">
        <v>34</v>
      </c>
      <c r="P6" s="150"/>
      <c r="Q6" s="13" t="s">
        <v>21</v>
      </c>
      <c r="R6" s="9" t="s">
        <v>35</v>
      </c>
      <c r="S6" s="13" t="s">
        <v>36</v>
      </c>
      <c r="T6" s="9" t="s">
        <v>37</v>
      </c>
      <c r="U6" s="9" t="s">
        <v>38</v>
      </c>
      <c r="V6" s="149" t="s">
        <v>39</v>
      </c>
      <c r="W6" s="150"/>
      <c r="X6" s="151"/>
      <c r="Y6" s="9" t="s">
        <v>1</v>
      </c>
      <c r="Z6" s="11" t="s">
        <v>40</v>
      </c>
      <c r="AA6" s="152" t="s">
        <v>41</v>
      </c>
      <c r="AB6" s="153"/>
      <c r="AC6" s="154"/>
      <c r="AD6" s="13" t="s">
        <v>41</v>
      </c>
      <c r="AF6" s="19" t="s">
        <v>58</v>
      </c>
      <c r="AG6" s="23">
        <f>+AG5+1</f>
        <v>2</v>
      </c>
      <c r="AH6" s="23">
        <v>50</v>
      </c>
      <c r="AI6" s="23" t="s">
        <v>61</v>
      </c>
      <c r="AL6" s="49"/>
      <c r="AM6" s="65" t="s">
        <v>98</v>
      </c>
      <c r="AN6" s="72">
        <f>AN5</f>
        <v>2.7E-2</v>
      </c>
      <c r="AO6" s="66"/>
      <c r="AP6" s="66"/>
    </row>
    <row r="7" spans="1:42" ht="13.5" customHeight="1" x14ac:dyDescent="0.25">
      <c r="A7" s="27"/>
      <c r="B7" s="201" t="s">
        <v>56</v>
      </c>
      <c r="C7" s="203"/>
      <c r="D7" s="10"/>
      <c r="E7" s="28"/>
      <c r="F7" s="201" t="s">
        <v>44</v>
      </c>
      <c r="G7" s="202"/>
      <c r="H7" s="203"/>
      <c r="I7" s="10" t="s">
        <v>43</v>
      </c>
      <c r="J7" s="201" t="s">
        <v>44</v>
      </c>
      <c r="K7" s="203"/>
      <c r="L7" s="14" t="s">
        <v>43</v>
      </c>
      <c r="M7" s="201" t="s">
        <v>54</v>
      </c>
      <c r="N7" s="202"/>
      <c r="O7" s="201" t="s">
        <v>55</v>
      </c>
      <c r="P7" s="202"/>
      <c r="Q7" s="14" t="s">
        <v>52</v>
      </c>
      <c r="R7" s="10" t="s">
        <v>53</v>
      </c>
      <c r="S7" s="14" t="s">
        <v>43</v>
      </c>
      <c r="T7" s="10" t="s">
        <v>49</v>
      </c>
      <c r="U7" s="10">
        <v>8.1300000000000008</v>
      </c>
      <c r="V7" s="201" t="s">
        <v>50</v>
      </c>
      <c r="W7" s="202"/>
      <c r="X7" s="203"/>
      <c r="Y7" s="10" t="s">
        <v>48</v>
      </c>
      <c r="Z7" s="12" t="s">
        <v>42</v>
      </c>
      <c r="AA7" s="155" t="s">
        <v>51</v>
      </c>
      <c r="AB7" s="156"/>
      <c r="AC7" s="157"/>
      <c r="AD7" s="14"/>
      <c r="AF7" s="19" t="s">
        <v>59</v>
      </c>
      <c r="AG7" s="23">
        <f>+AG6+1</f>
        <v>3</v>
      </c>
      <c r="AH7" s="23">
        <v>17</v>
      </c>
      <c r="AI7" s="23" t="s">
        <v>61</v>
      </c>
    </row>
    <row r="8" spans="1:42" ht="13.5" customHeight="1" x14ac:dyDescent="0.25">
      <c r="A8" s="237" t="s">
        <v>65</v>
      </c>
      <c r="B8" s="158" t="s">
        <v>3</v>
      </c>
      <c r="C8" s="217"/>
      <c r="D8" s="158" t="s">
        <v>3</v>
      </c>
      <c r="E8" s="217"/>
      <c r="F8" s="158" t="s">
        <v>119</v>
      </c>
      <c r="G8" s="217"/>
      <c r="H8" s="208"/>
      <c r="I8" s="158" t="s">
        <v>9</v>
      </c>
      <c r="J8" s="158" t="s">
        <v>15</v>
      </c>
      <c r="K8" s="217"/>
      <c r="L8" s="198" t="s">
        <v>9</v>
      </c>
      <c r="M8" s="204" t="s">
        <v>13</v>
      </c>
      <c r="N8" s="206" t="s">
        <v>14</v>
      </c>
      <c r="O8" s="158" t="s">
        <v>121</v>
      </c>
      <c r="P8" s="208"/>
      <c r="Q8" s="211" t="s">
        <v>118</v>
      </c>
      <c r="R8" s="214" t="s">
        <v>117</v>
      </c>
      <c r="S8" s="193" t="s">
        <v>23</v>
      </c>
      <c r="T8" s="158" t="s">
        <v>24</v>
      </c>
      <c r="U8" s="198" t="s">
        <v>25</v>
      </c>
      <c r="V8" s="158" t="s">
        <v>22</v>
      </c>
      <c r="W8" s="217"/>
      <c r="X8" s="220" t="s">
        <v>26</v>
      </c>
      <c r="Y8" s="158" t="s">
        <v>0</v>
      </c>
      <c r="Z8" s="158" t="s">
        <v>2</v>
      </c>
      <c r="AA8" s="158" t="s">
        <v>122</v>
      </c>
      <c r="AB8" s="159"/>
      <c r="AC8" s="160"/>
      <c r="AD8" s="176" t="s">
        <v>4</v>
      </c>
      <c r="AE8" s="19">
        <v>1</v>
      </c>
      <c r="AF8" s="19" t="s">
        <v>66</v>
      </c>
      <c r="AH8" s="29"/>
    </row>
    <row r="9" spans="1:42" ht="13.5" customHeight="1" x14ac:dyDescent="0.25">
      <c r="A9" s="238"/>
      <c r="B9" s="196"/>
      <c r="C9" s="218"/>
      <c r="D9" s="196"/>
      <c r="E9" s="218"/>
      <c r="F9" s="196"/>
      <c r="G9" s="218"/>
      <c r="H9" s="209"/>
      <c r="I9" s="196"/>
      <c r="J9" s="196"/>
      <c r="K9" s="218"/>
      <c r="L9" s="199"/>
      <c r="M9" s="205"/>
      <c r="N9" s="207"/>
      <c r="O9" s="196"/>
      <c r="P9" s="209"/>
      <c r="Q9" s="212"/>
      <c r="R9" s="215"/>
      <c r="S9" s="194"/>
      <c r="T9" s="196"/>
      <c r="U9" s="199"/>
      <c r="V9" s="196"/>
      <c r="W9" s="218"/>
      <c r="X9" s="221"/>
      <c r="Y9" s="196"/>
      <c r="Z9" s="196"/>
      <c r="AA9" s="161"/>
      <c r="AB9" s="162"/>
      <c r="AC9" s="163"/>
      <c r="AD9" s="177"/>
      <c r="AF9" s="19" t="s">
        <v>67</v>
      </c>
      <c r="AG9" s="29"/>
      <c r="AH9" s="29"/>
      <c r="AI9" s="29"/>
      <c r="AJ9" s="29"/>
    </row>
    <row r="10" spans="1:42" ht="13.5" customHeight="1" x14ac:dyDescent="0.25">
      <c r="A10" s="238"/>
      <c r="B10" s="196"/>
      <c r="C10" s="218"/>
      <c r="D10" s="196"/>
      <c r="E10" s="218"/>
      <c r="F10" s="196"/>
      <c r="G10" s="218"/>
      <c r="H10" s="209"/>
      <c r="I10" s="196"/>
      <c r="J10" s="196"/>
      <c r="K10" s="218"/>
      <c r="L10" s="199"/>
      <c r="M10" s="205"/>
      <c r="N10" s="207"/>
      <c r="O10" s="196"/>
      <c r="P10" s="209"/>
      <c r="Q10" s="212"/>
      <c r="R10" s="215"/>
      <c r="S10" s="194"/>
      <c r="T10" s="196"/>
      <c r="U10" s="199"/>
      <c r="V10" s="196"/>
      <c r="W10" s="218"/>
      <c r="X10" s="221"/>
      <c r="Y10" s="196"/>
      <c r="Z10" s="196"/>
      <c r="AA10" s="161"/>
      <c r="AB10" s="162"/>
      <c r="AC10" s="163"/>
      <c r="AD10" s="177"/>
      <c r="AJ10" s="29"/>
    </row>
    <row r="11" spans="1:42" ht="13.5" customHeight="1" x14ac:dyDescent="0.25">
      <c r="A11" s="238"/>
      <c r="B11" s="196"/>
      <c r="C11" s="218"/>
      <c r="D11" s="196"/>
      <c r="E11" s="218"/>
      <c r="F11" s="196"/>
      <c r="G11" s="218"/>
      <c r="H11" s="209"/>
      <c r="I11" s="196"/>
      <c r="J11" s="196"/>
      <c r="K11" s="218"/>
      <c r="L11" s="199"/>
      <c r="M11" s="205"/>
      <c r="N11" s="207"/>
      <c r="O11" s="196"/>
      <c r="P11" s="209"/>
      <c r="Q11" s="212"/>
      <c r="R11" s="215"/>
      <c r="S11" s="194"/>
      <c r="T11" s="196"/>
      <c r="U11" s="199"/>
      <c r="V11" s="196"/>
      <c r="W11" s="218"/>
      <c r="X11" s="221"/>
      <c r="Y11" s="196"/>
      <c r="Z11" s="196"/>
      <c r="AA11" s="161"/>
      <c r="AB11" s="162"/>
      <c r="AC11" s="163"/>
      <c r="AD11" s="177"/>
      <c r="AH11" s="29"/>
      <c r="AI11" s="29"/>
      <c r="AJ11" s="29"/>
    </row>
    <row r="12" spans="1:42" ht="13.5" customHeight="1" x14ac:dyDescent="0.25">
      <c r="A12" s="238"/>
      <c r="B12" s="197"/>
      <c r="C12" s="219"/>
      <c r="D12" s="197"/>
      <c r="E12" s="219"/>
      <c r="F12" s="197"/>
      <c r="G12" s="219"/>
      <c r="H12" s="210"/>
      <c r="I12" s="197"/>
      <c r="J12" s="197"/>
      <c r="K12" s="219"/>
      <c r="L12" s="200"/>
      <c r="M12" s="179" t="str">
        <f>+CONCATENATE(G16*100,"% x")</f>
        <v>93,5% x</v>
      </c>
      <c r="N12" s="181" t="str">
        <f>+CONCATENATE(ROUND(K16*100,1),"% x")</f>
        <v>6,5% x</v>
      </c>
      <c r="O12" s="197"/>
      <c r="P12" s="210"/>
      <c r="Q12" s="212"/>
      <c r="R12" s="215"/>
      <c r="S12" s="194"/>
      <c r="T12" s="197"/>
      <c r="U12" s="200"/>
      <c r="V12" s="196"/>
      <c r="W12" s="218"/>
      <c r="X12" s="221"/>
      <c r="Y12" s="197"/>
      <c r="Z12" s="197"/>
      <c r="AA12" s="161"/>
      <c r="AB12" s="162"/>
      <c r="AC12" s="163"/>
      <c r="AD12" s="178"/>
      <c r="AF12" s="30"/>
      <c r="AH12" s="29"/>
      <c r="AI12" s="29"/>
      <c r="AJ12" s="29"/>
    </row>
    <row r="13" spans="1:42" ht="13.5" customHeight="1" x14ac:dyDescent="0.25">
      <c r="A13" s="238"/>
      <c r="B13" s="1" t="s">
        <v>11</v>
      </c>
      <c r="C13" s="31">
        <f>+F2</f>
        <v>2.7E-2</v>
      </c>
      <c r="D13" s="1" t="s">
        <v>12</v>
      </c>
      <c r="E13" s="31">
        <v>0.13</v>
      </c>
      <c r="F13" s="1" t="s">
        <v>8</v>
      </c>
      <c r="G13" s="32">
        <f>+VLOOKUP(AE1,AG1:AJ4,2)</f>
        <v>0.13</v>
      </c>
      <c r="H13" s="32" t="s">
        <v>45</v>
      </c>
      <c r="I13" s="172"/>
      <c r="J13" s="184"/>
      <c r="K13" s="185"/>
      <c r="L13" s="188"/>
      <c r="M13" s="179"/>
      <c r="N13" s="181"/>
      <c r="O13" s="191" t="s">
        <v>18</v>
      </c>
      <c r="P13" s="192"/>
      <c r="Q13" s="212"/>
      <c r="R13" s="215"/>
      <c r="S13" s="194"/>
      <c r="T13" s="172"/>
      <c r="U13" s="172"/>
      <c r="V13" s="197"/>
      <c r="W13" s="219"/>
      <c r="X13" s="222"/>
      <c r="Y13" s="172"/>
      <c r="Z13" s="168"/>
      <c r="AA13" s="114"/>
      <c r="AB13" s="116"/>
      <c r="AC13" s="117"/>
      <c r="AD13" s="146"/>
      <c r="AH13" s="29"/>
      <c r="AI13" s="29"/>
      <c r="AJ13" s="29"/>
      <c r="AK13" s="29"/>
    </row>
    <row r="14" spans="1:42" ht="13.5" customHeight="1" x14ac:dyDescent="0.25">
      <c r="A14" s="238"/>
      <c r="B14" s="164" t="s">
        <v>64</v>
      </c>
      <c r="C14" s="165"/>
      <c r="D14" s="164" t="s">
        <v>61</v>
      </c>
      <c r="E14" s="165"/>
      <c r="F14" s="1" t="s">
        <v>10</v>
      </c>
      <c r="G14" s="32">
        <f>+VLOOKUP(AE1,AG1:AJ4,3)</f>
        <v>0.04</v>
      </c>
      <c r="H14" s="32" t="s">
        <v>45</v>
      </c>
      <c r="I14" s="183"/>
      <c r="J14" s="186"/>
      <c r="K14" s="187"/>
      <c r="L14" s="189"/>
      <c r="M14" s="180"/>
      <c r="N14" s="182"/>
      <c r="O14" s="1" t="str">
        <f>+CONCATENATE(G16*100,"% x")</f>
        <v>93,5% x</v>
      </c>
      <c r="P14" s="2" t="s">
        <v>19</v>
      </c>
      <c r="Q14" s="213"/>
      <c r="R14" s="216"/>
      <c r="S14" s="195"/>
      <c r="T14" s="183"/>
      <c r="U14" s="183"/>
      <c r="V14" s="33" t="s">
        <v>5</v>
      </c>
      <c r="W14" s="32">
        <f>+IF(AND(ISNUMBER(L3),L3&gt;0),L3,"n.v.t.")</f>
        <v>5</v>
      </c>
      <c r="X14" s="8" t="str">
        <f>+IF(W14="n.v.t.","","stuks/m²")</f>
        <v>stuks/m²</v>
      </c>
      <c r="Y14" s="183"/>
      <c r="Z14" s="191"/>
      <c r="AA14" s="113"/>
      <c r="AB14" s="118"/>
      <c r="AC14" s="119"/>
      <c r="AD14" s="147"/>
    </row>
    <row r="15" spans="1:42" ht="13.5" customHeight="1" x14ac:dyDescent="0.25">
      <c r="A15" s="238"/>
      <c r="B15" s="164"/>
      <c r="C15" s="165"/>
      <c r="D15" s="164"/>
      <c r="E15" s="165"/>
      <c r="F15" s="34"/>
      <c r="G15" s="32"/>
      <c r="H15" s="32"/>
      <c r="I15" s="183"/>
      <c r="J15" s="186"/>
      <c r="K15" s="187"/>
      <c r="L15" s="189"/>
      <c r="M15" s="168"/>
      <c r="N15" s="169"/>
      <c r="O15" s="1" t="str">
        <f>+CONCATENATE(ROUND(K16*100,1),"% x")</f>
        <v>6,5% x</v>
      </c>
      <c r="P15" s="2" t="s">
        <v>20</v>
      </c>
      <c r="Q15" s="172"/>
      <c r="R15" s="172"/>
      <c r="S15" s="172"/>
      <c r="T15" s="183"/>
      <c r="U15" s="183"/>
      <c r="V15" s="5" t="s">
        <v>6</v>
      </c>
      <c r="W15" s="6">
        <f>+VLOOKUP(AE5,AG5:AI7,2)</f>
        <v>50</v>
      </c>
      <c r="X15" s="8" t="str">
        <f>+VLOOKUP(AE5,AG5:AI7,3)</f>
        <v>tabel H.1</v>
      </c>
      <c r="Y15" s="183"/>
      <c r="Z15" s="191"/>
      <c r="AA15" s="113"/>
      <c r="AB15" s="118"/>
      <c r="AC15" s="119"/>
      <c r="AD15" s="147"/>
      <c r="AF15" s="24" t="s">
        <v>60</v>
      </c>
      <c r="AL15" s="53"/>
      <c r="AM15" s="56"/>
    </row>
    <row r="16" spans="1:42" ht="13.5" customHeight="1" thickBot="1" x14ac:dyDescent="0.3">
      <c r="A16" s="239"/>
      <c r="B16" s="166"/>
      <c r="C16" s="167"/>
      <c r="D16" s="166"/>
      <c r="E16" s="167"/>
      <c r="F16" s="3" t="s">
        <v>17</v>
      </c>
      <c r="G16" s="174">
        <f>1-K16</f>
        <v>0.93500000000000005</v>
      </c>
      <c r="H16" s="175"/>
      <c r="I16" s="173"/>
      <c r="J16" s="16" t="s">
        <v>16</v>
      </c>
      <c r="K16" s="35">
        <f>+IF(AE8=1,L5,0)</f>
        <v>6.5000000000000002E-2</v>
      </c>
      <c r="L16" s="190"/>
      <c r="M16" s="170"/>
      <c r="N16" s="171"/>
      <c r="O16" s="44"/>
      <c r="P16" s="4"/>
      <c r="Q16" s="173"/>
      <c r="R16" s="173"/>
      <c r="S16" s="173"/>
      <c r="T16" s="173"/>
      <c r="U16" s="173"/>
      <c r="V16" s="7" t="s">
        <v>7</v>
      </c>
      <c r="W16" s="36">
        <f>+IF(AND(ISNUMBER(L4),L4&gt;0),L4,"n.v.t.")</f>
        <v>5</v>
      </c>
      <c r="X16" s="15" t="str">
        <f>+IF(W16="n.v.t.","","mm")</f>
        <v>mm</v>
      </c>
      <c r="Y16" s="173"/>
      <c r="Z16" s="170"/>
      <c r="AA16" s="120" t="s">
        <v>120</v>
      </c>
      <c r="AB16" s="121">
        <f>+VLOOKUP(AE1,AG1:AJ4,4)</f>
        <v>0.36</v>
      </c>
      <c r="AC16" s="122" t="s">
        <v>65</v>
      </c>
      <c r="AD16" s="148"/>
      <c r="AL16" s="54" t="s">
        <v>83</v>
      </c>
      <c r="AM16" s="92" t="s">
        <v>125</v>
      </c>
    </row>
    <row r="17" spans="1:39" ht="13.5" customHeight="1" x14ac:dyDescent="0.25">
      <c r="A17" s="23">
        <v>10</v>
      </c>
      <c r="B17" s="144">
        <f>+$A17*0.001/C$13</f>
        <v>0.37037037037037041</v>
      </c>
      <c r="C17" s="145"/>
      <c r="D17" s="144">
        <f>+$A17*0.001/E$13</f>
        <v>7.6923076923076927E-2</v>
      </c>
      <c r="E17" s="145"/>
      <c r="F17" s="144">
        <f t="shared" ref="F17:F19" si="0">(B17+$G$13+$G$14)</f>
        <v>0.54037037037037039</v>
      </c>
      <c r="G17" s="145"/>
      <c r="H17" s="46"/>
      <c r="I17" s="38">
        <f>1/F17</f>
        <v>1.850582590815627</v>
      </c>
      <c r="J17" s="144">
        <f t="shared" ref="J17:J19" si="1">(D17+$G$13+$G$14)</f>
        <v>0.24692307692307694</v>
      </c>
      <c r="K17" s="145"/>
      <c r="L17" s="38">
        <f>1/J17</f>
        <v>4.0498442367601246</v>
      </c>
      <c r="M17" s="144">
        <f>1/($G$16*I17+$K$16*L17)</f>
        <v>0.50162159267391426</v>
      </c>
      <c r="N17" s="145"/>
      <c r="O17" s="144">
        <f t="shared" ref="O17:O19" si="2">+A17*0.001/($G$16*$C$13+$K$16*$E$13)+$G$13+$G$14</f>
        <v>0.46677993767621306</v>
      </c>
      <c r="P17" s="145"/>
      <c r="Q17" s="45">
        <f t="shared" ref="Q17:Q19" si="3">+IF(M17/(O17)&lt;1.05,0,1)</f>
        <v>1</v>
      </c>
      <c r="R17" s="38">
        <f t="shared" ref="R17:R19" si="4">+((Q17*M17+O17)/(1+1.05*Q17))</f>
        <v>0.47239099041469629</v>
      </c>
      <c r="S17" s="38">
        <f>1/R17</f>
        <v>2.1168905002234131</v>
      </c>
      <c r="T17" s="38">
        <v>0</v>
      </c>
      <c r="U17" s="38">
        <v>0</v>
      </c>
      <c r="V17" s="144">
        <f>+IF(ISNUMBER($W$15),POWER(B17/R17,2)*((0.8*A17/A17)*($L$3*$W$15*PI()*POWER(($L$4/2)*0.001,2))/(A17*0.001)),0)</f>
        <v>0.24139548635293917</v>
      </c>
      <c r="W17" s="145"/>
      <c r="X17" s="46"/>
      <c r="Y17" s="38">
        <f>T17+U17+V17</f>
        <v>0.24139548635293917</v>
      </c>
      <c r="Z17" s="38">
        <f t="shared" ref="Z17:Z19" si="5">S17/1+Y17</f>
        <v>2.3582859865763521</v>
      </c>
      <c r="AA17" s="38"/>
      <c r="AB17" s="115">
        <f t="shared" ref="AB17:AB19" si="6">1/Z17-$G$13-$G$14+$AB$16</f>
        <v>0.61403678166775388</v>
      </c>
      <c r="AC17" s="115"/>
      <c r="AD17" s="39">
        <f t="shared" ref="AD17:AD19" si="7">ROUND(AB17,1)</f>
        <v>0.6</v>
      </c>
      <c r="AE17" s="37"/>
      <c r="AL17" s="85"/>
      <c r="AM17" s="52"/>
    </row>
    <row r="18" spans="1:39" ht="13.5" customHeight="1" x14ac:dyDescent="0.25">
      <c r="A18" s="23">
        <f t="shared" ref="A18:A19" si="8">+A17+10</f>
        <v>20</v>
      </c>
      <c r="B18" s="144">
        <f t="shared" ref="B18:B19" si="9">+$A18*0.001/C$13</f>
        <v>0.74074074074074081</v>
      </c>
      <c r="C18" s="145"/>
      <c r="D18" s="144">
        <f>+$A18*0.001/E$13</f>
        <v>0.15384615384615385</v>
      </c>
      <c r="E18" s="145"/>
      <c r="F18" s="144">
        <f t="shared" si="0"/>
        <v>0.91074074074074085</v>
      </c>
      <c r="G18" s="145"/>
      <c r="H18" s="46"/>
      <c r="I18" s="38">
        <f>1/F18</f>
        <v>1.0980073200488001</v>
      </c>
      <c r="J18" s="144">
        <f t="shared" si="1"/>
        <v>0.32384615384615384</v>
      </c>
      <c r="K18" s="145"/>
      <c r="L18" s="38">
        <f>1/J18</f>
        <v>3.0878859857482186</v>
      </c>
      <c r="M18" s="144">
        <f t="shared" ref="M18:M19" si="10">1/($G$16*I18+$K$16*L18)</f>
        <v>0.81476389107508262</v>
      </c>
      <c r="N18" s="145"/>
      <c r="O18" s="144">
        <f t="shared" si="2"/>
        <v>0.7635598753524262</v>
      </c>
      <c r="P18" s="145"/>
      <c r="Q18" s="45">
        <f t="shared" si="3"/>
        <v>1</v>
      </c>
      <c r="R18" s="38">
        <f t="shared" si="4"/>
        <v>0.76991403240366285</v>
      </c>
      <c r="S18" s="38">
        <f t="shared" ref="S18:S19" si="11">1/R18</f>
        <v>1.2988463099938721</v>
      </c>
      <c r="T18" s="38">
        <v>0</v>
      </c>
      <c r="U18" s="38">
        <v>0</v>
      </c>
      <c r="V18" s="144">
        <f t="shared" ref="V18:V19" si="12">+IF(ISNUMBER($W$15),POWER(B18/R18,2)*((0.8*A18/A18)*($L$3*$W$15*PI()*POWER(($L$4/2)*0.001,2))/(A18*0.001)),0)</f>
        <v>0.18175144936571841</v>
      </c>
      <c r="W18" s="145"/>
      <c r="X18" s="46"/>
      <c r="Y18" s="38">
        <f t="shared" ref="Y18:Y19" si="13">T18+U18+V18</f>
        <v>0.18175144936571841</v>
      </c>
      <c r="Z18" s="38">
        <f t="shared" si="5"/>
        <v>1.4805977593595905</v>
      </c>
      <c r="AA18" s="38"/>
      <c r="AB18" s="115">
        <f t="shared" si="6"/>
        <v>0.86540288621842465</v>
      </c>
      <c r="AC18" s="115"/>
      <c r="AD18" s="39">
        <f t="shared" si="7"/>
        <v>0.9</v>
      </c>
      <c r="AL18" s="85"/>
      <c r="AM18" s="52"/>
    </row>
    <row r="19" spans="1:39" ht="13.5" customHeight="1" x14ac:dyDescent="0.25">
      <c r="A19" s="23">
        <f t="shared" si="8"/>
        <v>30</v>
      </c>
      <c r="B19" s="144">
        <f t="shared" si="9"/>
        <v>1.1111111111111112</v>
      </c>
      <c r="C19" s="145"/>
      <c r="D19" s="144">
        <f t="shared" ref="D19" si="14">+$A19*0.001/E$13</f>
        <v>0.23076923076923075</v>
      </c>
      <c r="E19" s="145"/>
      <c r="F19" s="144">
        <f t="shared" si="0"/>
        <v>1.2811111111111111</v>
      </c>
      <c r="G19" s="145"/>
      <c r="H19" s="46"/>
      <c r="I19" s="38">
        <f t="shared" ref="I19" si="15">1/F19</f>
        <v>0.78057241977450131</v>
      </c>
      <c r="J19" s="144">
        <f t="shared" si="1"/>
        <v>0.40076923076923071</v>
      </c>
      <c r="K19" s="145"/>
      <c r="L19" s="38">
        <f t="shared" ref="L19" si="16">1/J19</f>
        <v>2.4952015355086377</v>
      </c>
      <c r="M19" s="144">
        <f t="shared" si="10"/>
        <v>1.1210469347765233</v>
      </c>
      <c r="N19" s="145"/>
      <c r="O19" s="144">
        <f t="shared" si="2"/>
        <v>1.0603398130286392</v>
      </c>
      <c r="P19" s="145"/>
      <c r="Q19" s="45">
        <f t="shared" si="3"/>
        <v>1</v>
      </c>
      <c r="R19" s="38">
        <f t="shared" si="4"/>
        <v>1.0640910964903232</v>
      </c>
      <c r="S19" s="38">
        <f t="shared" si="11"/>
        <v>0.93976916384159781</v>
      </c>
      <c r="T19" s="38">
        <v>0</v>
      </c>
      <c r="U19" s="38">
        <v>0</v>
      </c>
      <c r="V19" s="144">
        <f t="shared" si="12"/>
        <v>0.14272366630326341</v>
      </c>
      <c r="W19" s="145"/>
      <c r="X19" s="46"/>
      <c r="Y19" s="38">
        <f t="shared" si="13"/>
        <v>0.14272366630326341</v>
      </c>
      <c r="Z19" s="38">
        <f t="shared" si="5"/>
        <v>1.0824928301448613</v>
      </c>
      <c r="AA19" s="38"/>
      <c r="AB19" s="115">
        <f t="shared" si="6"/>
        <v>1.1137936475442318</v>
      </c>
      <c r="AC19" s="115"/>
      <c r="AD19" s="39">
        <f t="shared" si="7"/>
        <v>1.1000000000000001</v>
      </c>
      <c r="AL19" s="85"/>
      <c r="AM19" s="52"/>
    </row>
    <row r="20" spans="1:39" ht="13.5" customHeight="1" x14ac:dyDescent="0.25">
      <c r="A20" s="23">
        <v>40</v>
      </c>
      <c r="B20" s="144">
        <f>+$A20*0.001/C$13</f>
        <v>1.4814814814814816</v>
      </c>
      <c r="C20" s="145"/>
      <c r="D20" s="144">
        <f>+$A20*0.001/E$13</f>
        <v>0.30769230769230771</v>
      </c>
      <c r="E20" s="145"/>
      <c r="F20" s="144">
        <f t="shared" ref="F20:F38" si="17">(B20+$G$13+$G$14)</f>
        <v>1.6514814814814818</v>
      </c>
      <c r="G20" s="145"/>
      <c r="H20" s="46"/>
      <c r="I20" s="38">
        <f>1/F20</f>
        <v>0.6055169320475442</v>
      </c>
      <c r="J20" s="144">
        <f t="shared" ref="J20:J38" si="18">(D20+$G$13+$G$14)</f>
        <v>0.47769230769230769</v>
      </c>
      <c r="K20" s="145"/>
      <c r="L20" s="38">
        <f>1/J20</f>
        <v>2.0933977455716586</v>
      </c>
      <c r="M20" s="144">
        <f>1/($G$16*I20+$K$16*L20)</f>
        <v>1.424036513242479</v>
      </c>
      <c r="N20" s="145"/>
      <c r="O20" s="144">
        <f t="shared" ref="O20:O38" si="19">+A20*0.001/($G$16*$C$13+$K$16*$E$13)+$G$13+$G$14</f>
        <v>1.3571197507048525</v>
      </c>
      <c r="P20" s="145"/>
      <c r="Q20" s="45">
        <f t="shared" ref="Q20:Q38" si="20">+IF(M20/(O20)&lt;1.05,0,1)</f>
        <v>0</v>
      </c>
      <c r="R20" s="38">
        <f t="shared" ref="R20:R38" si="21">+((Q20*M20+O20)/(1+1.05*Q20))</f>
        <v>1.3571197507048525</v>
      </c>
      <c r="S20" s="38">
        <f>1/R20</f>
        <v>0.73685465080043688</v>
      </c>
      <c r="T20" s="38">
        <v>0</v>
      </c>
      <c r="U20" s="38">
        <v>0</v>
      </c>
      <c r="V20" s="144">
        <f>+IF(ISNUMBER($W$15),POWER(B20/R20,2)*((0.8*A20/A20)*($L$3*$W$15*PI()*POWER(($L$4/2)*0.001,2))/(A20*0.001)),0)</f>
        <v>0.11699195725578276</v>
      </c>
      <c r="W20" s="145"/>
      <c r="X20" s="46"/>
      <c r="Y20" s="38">
        <f>T20+U20+V20</f>
        <v>0.11699195725578276</v>
      </c>
      <c r="Z20" s="38">
        <f t="shared" ref="Z20:Z38" si="22">S20/1+Y20</f>
        <v>0.8538466080562197</v>
      </c>
      <c r="AA20" s="38"/>
      <c r="AB20" s="115">
        <f t="shared" ref="AB20:AB38" si="23">1/Z20-$G$13-$G$14+$AB$16</f>
        <v>1.361170548157939</v>
      </c>
      <c r="AC20" s="115"/>
      <c r="AD20" s="39">
        <f t="shared" ref="AD20:AD38" si="24">ROUND(AB20,1)</f>
        <v>1.4</v>
      </c>
      <c r="AE20" s="37"/>
      <c r="AL20" s="85"/>
      <c r="AM20" s="52"/>
    </row>
    <row r="21" spans="1:39" ht="13.5" customHeight="1" x14ac:dyDescent="0.25">
      <c r="A21" s="23">
        <f t="shared" ref="A21:A26" si="25">+A20+10</f>
        <v>50</v>
      </c>
      <c r="B21" s="144">
        <f t="shared" ref="B21:B38" si="26">+$A21*0.001/C$13</f>
        <v>1.8518518518518521</v>
      </c>
      <c r="C21" s="145"/>
      <c r="D21" s="144">
        <f>+$A21*0.001/E$13</f>
        <v>0.38461538461538464</v>
      </c>
      <c r="E21" s="145"/>
      <c r="F21" s="144">
        <f t="shared" si="17"/>
        <v>2.021851851851852</v>
      </c>
      <c r="G21" s="145"/>
      <c r="H21" s="46"/>
      <c r="I21" s="38">
        <f>1/F21</f>
        <v>0.49459607986810766</v>
      </c>
      <c r="J21" s="144">
        <f t="shared" si="18"/>
        <v>0.55461538461538473</v>
      </c>
      <c r="K21" s="145"/>
      <c r="L21" s="38">
        <f>1/J21</f>
        <v>1.8030513176144241</v>
      </c>
      <c r="M21" s="144">
        <f t="shared" ref="M21:M38" si="27">1/($G$16*I21+$K$16*L21)</f>
        <v>1.7251918735891647</v>
      </c>
      <c r="N21" s="145"/>
      <c r="O21" s="144">
        <f t="shared" si="19"/>
        <v>1.6538996883810655</v>
      </c>
      <c r="P21" s="145"/>
      <c r="Q21" s="45">
        <f t="shared" si="20"/>
        <v>0</v>
      </c>
      <c r="R21" s="38">
        <f t="shared" si="21"/>
        <v>1.6538996883810655</v>
      </c>
      <c r="S21" s="38">
        <f t="shared" ref="S21:S38" si="28">1/R21</f>
        <v>0.60463159103612807</v>
      </c>
      <c r="T21" s="38">
        <v>0</v>
      </c>
      <c r="U21" s="38">
        <v>0</v>
      </c>
      <c r="V21" s="144">
        <f t="shared" ref="V21:V38" si="29">+IF(ISNUMBER($W$15),POWER(B21/R21,2)*((0.8*A21/A21)*($L$3*$W$15*PI()*POWER(($L$4/2)*0.001,2))/(A21*0.001)),0)</f>
        <v>9.8465486491867302E-2</v>
      </c>
      <c r="W21" s="145"/>
      <c r="X21" s="46"/>
      <c r="Y21" s="38">
        <f t="shared" ref="Y21:Y38" si="30">T21+U21+V21</f>
        <v>9.8465486491867302E-2</v>
      </c>
      <c r="Z21" s="38">
        <f t="shared" si="22"/>
        <v>0.70309707752799533</v>
      </c>
      <c r="AA21" s="38"/>
      <c r="AB21" s="115">
        <f t="shared" si="23"/>
        <v>1.6122787036974744</v>
      </c>
      <c r="AC21" s="115"/>
      <c r="AD21" s="39">
        <f t="shared" si="24"/>
        <v>1.6</v>
      </c>
      <c r="AL21" s="85"/>
      <c r="AM21" s="52"/>
    </row>
    <row r="22" spans="1:39" ht="13.5" customHeight="1" x14ac:dyDescent="0.25">
      <c r="A22" s="23">
        <f t="shared" si="25"/>
        <v>60</v>
      </c>
      <c r="B22" s="144">
        <f t="shared" si="26"/>
        <v>2.2222222222222223</v>
      </c>
      <c r="C22" s="145"/>
      <c r="D22" s="144">
        <f t="shared" ref="D22:D38" si="31">+$A22*0.001/E$13</f>
        <v>0.46153846153846151</v>
      </c>
      <c r="E22" s="145"/>
      <c r="F22" s="144">
        <f t="shared" si="17"/>
        <v>2.3922222222222222</v>
      </c>
      <c r="G22" s="145"/>
      <c r="H22" s="46"/>
      <c r="I22" s="38">
        <f t="shared" ref="I22:I38" si="32">1/F22</f>
        <v>0.41802136553646074</v>
      </c>
      <c r="J22" s="144">
        <f t="shared" si="18"/>
        <v>0.6315384615384616</v>
      </c>
      <c r="K22" s="145"/>
      <c r="L22" s="38">
        <f t="shared" ref="L22:L38" si="33">1/J22</f>
        <v>1.5834348355663823</v>
      </c>
      <c r="M22" s="144">
        <f t="shared" si="27"/>
        <v>2.0252211274060494</v>
      </c>
      <c r="N22" s="145"/>
      <c r="O22" s="144">
        <f t="shared" si="19"/>
        <v>1.9506796260572785</v>
      </c>
      <c r="P22" s="145"/>
      <c r="Q22" s="45">
        <f t="shared" si="20"/>
        <v>0</v>
      </c>
      <c r="R22" s="38">
        <f t="shared" si="21"/>
        <v>1.9506796260572785</v>
      </c>
      <c r="S22" s="38">
        <f t="shared" si="28"/>
        <v>0.51264184371536392</v>
      </c>
      <c r="T22" s="38">
        <v>0</v>
      </c>
      <c r="U22" s="38">
        <v>0</v>
      </c>
      <c r="V22" s="144">
        <f t="shared" si="29"/>
        <v>8.4939893434223784E-2</v>
      </c>
      <c r="W22" s="145"/>
      <c r="X22" s="46"/>
      <c r="Y22" s="38">
        <f t="shared" si="30"/>
        <v>8.4939893434223784E-2</v>
      </c>
      <c r="Z22" s="38">
        <f t="shared" si="22"/>
        <v>0.59758173714958773</v>
      </c>
      <c r="AA22" s="38"/>
      <c r="AB22" s="115">
        <f t="shared" si="23"/>
        <v>1.8634112470871549</v>
      </c>
      <c r="AC22" s="115"/>
      <c r="AD22" s="39">
        <f t="shared" si="24"/>
        <v>1.9</v>
      </c>
      <c r="AL22" s="85"/>
      <c r="AM22" s="52"/>
    </row>
    <row r="23" spans="1:39" ht="13.5" customHeight="1" x14ac:dyDescent="0.25">
      <c r="A23" s="23">
        <f t="shared" si="25"/>
        <v>70</v>
      </c>
      <c r="B23" s="144">
        <f t="shared" si="26"/>
        <v>2.592592592592593</v>
      </c>
      <c r="C23" s="145"/>
      <c r="D23" s="144">
        <f t="shared" si="31"/>
        <v>0.53846153846153855</v>
      </c>
      <c r="E23" s="145"/>
      <c r="F23" s="144">
        <f t="shared" si="17"/>
        <v>2.7625925925925929</v>
      </c>
      <c r="G23" s="145"/>
      <c r="H23" s="46"/>
      <c r="I23" s="38">
        <f t="shared" si="32"/>
        <v>0.3619788175358627</v>
      </c>
      <c r="J23" s="144">
        <f t="shared" si="18"/>
        <v>0.70846153846153859</v>
      </c>
      <c r="K23" s="145"/>
      <c r="L23" s="38">
        <f t="shared" si="33"/>
        <v>1.4115092290988054</v>
      </c>
      <c r="M23" s="144">
        <f t="shared" si="27"/>
        <v>2.3245094489654359</v>
      </c>
      <c r="N23" s="145"/>
      <c r="O23" s="144">
        <f t="shared" si="19"/>
        <v>2.2474595637334915</v>
      </c>
      <c r="P23" s="145"/>
      <c r="Q23" s="45">
        <f t="shared" si="20"/>
        <v>0</v>
      </c>
      <c r="R23" s="38">
        <f t="shared" si="21"/>
        <v>2.2474595637334915</v>
      </c>
      <c r="S23" s="38">
        <f t="shared" si="28"/>
        <v>0.44494682624625059</v>
      </c>
      <c r="T23" s="38">
        <v>0</v>
      </c>
      <c r="U23" s="38">
        <v>0</v>
      </c>
      <c r="V23" s="144">
        <f t="shared" si="29"/>
        <v>7.4652889841576711E-2</v>
      </c>
      <c r="W23" s="145"/>
      <c r="X23" s="46"/>
      <c r="Y23" s="38">
        <f t="shared" si="30"/>
        <v>7.4652889841576711E-2</v>
      </c>
      <c r="Z23" s="38">
        <f t="shared" si="22"/>
        <v>0.51959971608782729</v>
      </c>
      <c r="AA23" s="38"/>
      <c r="AB23" s="115">
        <f t="shared" si="23"/>
        <v>2.114558403397917</v>
      </c>
      <c r="AC23" s="115"/>
      <c r="AD23" s="39">
        <f t="shared" si="24"/>
        <v>2.1</v>
      </c>
      <c r="AL23" s="85"/>
      <c r="AM23" s="52"/>
    </row>
    <row r="24" spans="1:39" ht="13.5" customHeight="1" x14ac:dyDescent="0.25">
      <c r="A24" s="23">
        <f t="shared" si="25"/>
        <v>80</v>
      </c>
      <c r="B24" s="144">
        <f t="shared" si="26"/>
        <v>2.9629629629629632</v>
      </c>
      <c r="C24" s="145"/>
      <c r="D24" s="144">
        <f t="shared" si="31"/>
        <v>0.61538461538461542</v>
      </c>
      <c r="E24" s="145"/>
      <c r="F24" s="144">
        <f t="shared" si="17"/>
        <v>3.1329629629629632</v>
      </c>
      <c r="G24" s="145"/>
      <c r="H24" s="46"/>
      <c r="I24" s="38">
        <f t="shared" si="32"/>
        <v>0.31918666509043619</v>
      </c>
      <c r="J24" s="144">
        <f t="shared" si="18"/>
        <v>0.78538461538461546</v>
      </c>
      <c r="K24" s="145"/>
      <c r="L24" s="38">
        <f t="shared" si="33"/>
        <v>1.2732615083251713</v>
      </c>
      <c r="M24" s="144">
        <f t="shared" si="27"/>
        <v>2.6232843301035751</v>
      </c>
      <c r="N24" s="145"/>
      <c r="O24" s="144">
        <f t="shared" si="19"/>
        <v>2.5442395014097046</v>
      </c>
      <c r="P24" s="145"/>
      <c r="Q24" s="45">
        <f t="shared" si="20"/>
        <v>0</v>
      </c>
      <c r="R24" s="38">
        <f t="shared" si="21"/>
        <v>2.5442395014097046</v>
      </c>
      <c r="S24" s="38">
        <f t="shared" si="28"/>
        <v>0.39304475834367125</v>
      </c>
      <c r="T24" s="38">
        <v>0</v>
      </c>
      <c r="U24" s="38">
        <v>0</v>
      </c>
      <c r="V24" s="144">
        <f t="shared" si="29"/>
        <v>6.6574262203022247E-2</v>
      </c>
      <c r="W24" s="145"/>
      <c r="X24" s="46"/>
      <c r="Y24" s="38">
        <f t="shared" si="30"/>
        <v>6.6574262203022247E-2</v>
      </c>
      <c r="Z24" s="38">
        <f t="shared" si="22"/>
        <v>0.45961902054669351</v>
      </c>
      <c r="AA24" s="38"/>
      <c r="AB24" s="115">
        <f t="shared" si="23"/>
        <v>2.3657150058989087</v>
      </c>
      <c r="AC24" s="115"/>
      <c r="AD24" s="39">
        <f t="shared" si="24"/>
        <v>2.4</v>
      </c>
      <c r="AF24" s="40"/>
      <c r="AL24" s="85"/>
      <c r="AM24" s="52"/>
    </row>
    <row r="25" spans="1:39" ht="13.5" customHeight="1" x14ac:dyDescent="0.25">
      <c r="A25" s="23">
        <f t="shared" si="25"/>
        <v>90</v>
      </c>
      <c r="B25" s="144">
        <f t="shared" si="26"/>
        <v>3.333333333333333</v>
      </c>
      <c r="C25" s="145"/>
      <c r="D25" s="144">
        <f t="shared" si="31"/>
        <v>0.69230769230769229</v>
      </c>
      <c r="E25" s="145"/>
      <c r="F25" s="144">
        <f t="shared" si="17"/>
        <v>3.503333333333333</v>
      </c>
      <c r="G25" s="145"/>
      <c r="H25" s="46"/>
      <c r="I25" s="38">
        <f t="shared" si="32"/>
        <v>0.28544243577545197</v>
      </c>
      <c r="J25" s="144">
        <f t="shared" si="18"/>
        <v>0.86230769230769233</v>
      </c>
      <c r="K25" s="145"/>
      <c r="L25" s="38">
        <f t="shared" si="33"/>
        <v>1.1596788581623549</v>
      </c>
      <c r="M25" s="144">
        <f t="shared" si="27"/>
        <v>2.9216887786732793</v>
      </c>
      <c r="N25" s="145"/>
      <c r="O25" s="144">
        <f t="shared" si="19"/>
        <v>2.8410194390859176</v>
      </c>
      <c r="P25" s="145"/>
      <c r="Q25" s="45">
        <f t="shared" si="20"/>
        <v>0</v>
      </c>
      <c r="R25" s="38">
        <f t="shared" si="21"/>
        <v>2.8410194390859176</v>
      </c>
      <c r="S25" s="38">
        <f t="shared" si="28"/>
        <v>0.35198632795055584</v>
      </c>
      <c r="T25" s="38">
        <v>0</v>
      </c>
      <c r="U25" s="38">
        <v>0</v>
      </c>
      <c r="V25" s="144">
        <f t="shared" si="29"/>
        <v>6.0065688043599699E-2</v>
      </c>
      <c r="W25" s="145"/>
      <c r="X25" s="46"/>
      <c r="Y25" s="38">
        <f t="shared" si="30"/>
        <v>6.0065688043599699E-2</v>
      </c>
      <c r="Z25" s="38">
        <f t="shared" si="22"/>
        <v>0.41205201599415553</v>
      </c>
      <c r="AA25" s="38"/>
      <c r="AB25" s="115">
        <f t="shared" si="23"/>
        <v>2.6168780668074292</v>
      </c>
      <c r="AC25" s="115"/>
      <c r="AD25" s="39">
        <f t="shared" si="24"/>
        <v>2.6</v>
      </c>
      <c r="AL25" s="85"/>
      <c r="AM25" s="52"/>
    </row>
    <row r="26" spans="1:39" ht="13.5" customHeight="1" x14ac:dyDescent="0.25">
      <c r="A26" s="23">
        <f t="shared" si="25"/>
        <v>100</v>
      </c>
      <c r="B26" s="144">
        <f t="shared" si="26"/>
        <v>3.7037037037037042</v>
      </c>
      <c r="C26" s="145"/>
      <c r="D26" s="144">
        <f t="shared" si="31"/>
        <v>0.76923076923076927</v>
      </c>
      <c r="E26" s="145"/>
      <c r="F26" s="144">
        <f t="shared" si="17"/>
        <v>3.8737037037037041</v>
      </c>
      <c r="G26" s="145"/>
      <c r="H26" s="46"/>
      <c r="I26" s="38">
        <f t="shared" si="32"/>
        <v>0.25815087484463139</v>
      </c>
      <c r="J26" s="144">
        <f t="shared" si="18"/>
        <v>0.93923076923076931</v>
      </c>
      <c r="K26" s="145"/>
      <c r="L26" s="38">
        <f t="shared" si="33"/>
        <v>1.0647010647010646</v>
      </c>
      <c r="M26" s="144">
        <f t="shared" si="27"/>
        <v>3.2198172053855072</v>
      </c>
      <c r="N26" s="145"/>
      <c r="O26" s="144">
        <f t="shared" si="19"/>
        <v>3.1377993767621306</v>
      </c>
      <c r="P26" s="145"/>
      <c r="Q26" s="45">
        <f t="shared" si="20"/>
        <v>0</v>
      </c>
      <c r="R26" s="38">
        <f t="shared" si="21"/>
        <v>3.1377993767621306</v>
      </c>
      <c r="S26" s="38">
        <f t="shared" si="28"/>
        <v>0.31869469010854728</v>
      </c>
      <c r="T26" s="38">
        <v>0</v>
      </c>
      <c r="U26" s="38">
        <v>0</v>
      </c>
      <c r="V26" s="144">
        <f t="shared" si="29"/>
        <v>5.4711927164212047E-2</v>
      </c>
      <c r="W26" s="145"/>
      <c r="X26" s="46"/>
      <c r="Y26" s="38">
        <f t="shared" si="30"/>
        <v>5.4711927164212047E-2</v>
      </c>
      <c r="Z26" s="38">
        <f t="shared" si="22"/>
        <v>0.37340661727275931</v>
      </c>
      <c r="AA26" s="38"/>
      <c r="AB26" s="115">
        <f t="shared" si="23"/>
        <v>2.8680457381919884</v>
      </c>
      <c r="AC26" s="115"/>
      <c r="AD26" s="39">
        <f t="shared" si="24"/>
        <v>2.9</v>
      </c>
      <c r="AL26" s="85"/>
      <c r="AM26" s="52"/>
    </row>
    <row r="27" spans="1:39" ht="13.5" customHeight="1" x14ac:dyDescent="0.25">
      <c r="A27" s="23">
        <f t="shared" ref="A27:A38" si="34">+A26+10</f>
        <v>110</v>
      </c>
      <c r="B27" s="144">
        <f t="shared" si="26"/>
        <v>4.0740740740740744</v>
      </c>
      <c r="C27" s="145"/>
      <c r="D27" s="144">
        <f t="shared" si="31"/>
        <v>0.84615384615384615</v>
      </c>
      <c r="E27" s="145"/>
      <c r="F27" s="144">
        <f t="shared" si="17"/>
        <v>4.2440740740740743</v>
      </c>
      <c r="G27" s="145"/>
      <c r="H27" s="46"/>
      <c r="I27" s="38">
        <f t="shared" si="32"/>
        <v>0.2356226546819094</v>
      </c>
      <c r="J27" s="144">
        <f t="shared" si="18"/>
        <v>1.0161538461538462</v>
      </c>
      <c r="K27" s="145"/>
      <c r="L27" s="38">
        <f t="shared" si="33"/>
        <v>0.98410295230885692</v>
      </c>
      <c r="M27" s="144">
        <f t="shared" si="27"/>
        <v>3.5177344503445149</v>
      </c>
      <c r="N27" s="145"/>
      <c r="O27" s="144">
        <f t="shared" si="19"/>
        <v>3.4345793144383436</v>
      </c>
      <c r="P27" s="145"/>
      <c r="Q27" s="45">
        <f t="shared" si="20"/>
        <v>0</v>
      </c>
      <c r="R27" s="38">
        <f t="shared" si="21"/>
        <v>3.4345793144383436</v>
      </c>
      <c r="S27" s="38">
        <f t="shared" si="28"/>
        <v>0.29115647316577692</v>
      </c>
      <c r="T27" s="38">
        <v>0</v>
      </c>
      <c r="U27" s="38">
        <v>0</v>
      </c>
      <c r="V27" s="144">
        <f t="shared" si="29"/>
        <v>5.0231707671533704E-2</v>
      </c>
      <c r="W27" s="145"/>
      <c r="X27" s="46"/>
      <c r="Y27" s="38">
        <f t="shared" si="30"/>
        <v>5.0231707671533704E-2</v>
      </c>
      <c r="Z27" s="38">
        <f t="shared" si="22"/>
        <v>0.3413881808373106</v>
      </c>
      <c r="AA27" s="38"/>
      <c r="AB27" s="115">
        <f t="shared" si="23"/>
        <v>3.1192168157296356</v>
      </c>
      <c r="AC27" s="115"/>
      <c r="AD27" s="39">
        <f t="shared" si="24"/>
        <v>3.1</v>
      </c>
      <c r="AL27" s="85"/>
      <c r="AM27" s="52"/>
    </row>
    <row r="28" spans="1:39" ht="13.5" customHeight="1" x14ac:dyDescent="0.25">
      <c r="A28" s="23">
        <f t="shared" si="34"/>
        <v>120</v>
      </c>
      <c r="B28" s="144">
        <f t="shared" si="26"/>
        <v>4.4444444444444446</v>
      </c>
      <c r="C28" s="145"/>
      <c r="D28" s="144">
        <f t="shared" si="31"/>
        <v>0.92307692307692302</v>
      </c>
      <c r="E28" s="145"/>
      <c r="F28" s="144">
        <f t="shared" si="17"/>
        <v>4.6144444444444446</v>
      </c>
      <c r="G28" s="145"/>
      <c r="H28" s="46"/>
      <c r="I28" s="38">
        <f t="shared" si="32"/>
        <v>0.21671081146159402</v>
      </c>
      <c r="J28" s="144">
        <f t="shared" si="18"/>
        <v>1.0930769230769231</v>
      </c>
      <c r="K28" s="145"/>
      <c r="L28" s="38">
        <f t="shared" si="33"/>
        <v>0.91484869809992964</v>
      </c>
      <c r="M28" s="144">
        <f t="shared" si="27"/>
        <v>3.815486519687076</v>
      </c>
      <c r="N28" s="145"/>
      <c r="O28" s="144">
        <f t="shared" si="19"/>
        <v>3.7313592521145567</v>
      </c>
      <c r="P28" s="145"/>
      <c r="Q28" s="45">
        <f t="shared" si="20"/>
        <v>0</v>
      </c>
      <c r="R28" s="38">
        <f t="shared" si="21"/>
        <v>3.7313592521145567</v>
      </c>
      <c r="S28" s="38">
        <f t="shared" si="28"/>
        <v>0.26799885308103238</v>
      </c>
      <c r="T28" s="38">
        <v>0</v>
      </c>
      <c r="U28" s="38">
        <v>0</v>
      </c>
      <c r="V28" s="144">
        <f t="shared" si="29"/>
        <v>4.6427946392178017E-2</v>
      </c>
      <c r="W28" s="145"/>
      <c r="X28" s="46"/>
      <c r="Y28" s="38">
        <f t="shared" si="30"/>
        <v>4.6427946392178017E-2</v>
      </c>
      <c r="Z28" s="38">
        <f t="shared" si="22"/>
        <v>0.31442679947321039</v>
      </c>
      <c r="AA28" s="38"/>
      <c r="AB28" s="115">
        <f t="shared" si="23"/>
        <v>3.3703904809494505</v>
      </c>
      <c r="AC28" s="115"/>
      <c r="AD28" s="39">
        <f t="shared" si="24"/>
        <v>3.4</v>
      </c>
      <c r="AL28" s="85"/>
      <c r="AM28" s="52"/>
    </row>
    <row r="29" spans="1:39" ht="13.5" customHeight="1" x14ac:dyDescent="0.25">
      <c r="A29" s="23">
        <f t="shared" si="34"/>
        <v>130</v>
      </c>
      <c r="B29" s="144">
        <f t="shared" si="26"/>
        <v>4.8148148148148149</v>
      </c>
      <c r="C29" s="145"/>
      <c r="D29" s="144">
        <f t="shared" si="31"/>
        <v>1</v>
      </c>
      <c r="E29" s="145"/>
      <c r="F29" s="144">
        <f t="shared" si="17"/>
        <v>4.9848148148148148</v>
      </c>
      <c r="G29" s="145"/>
      <c r="H29" s="46"/>
      <c r="I29" s="38">
        <f t="shared" si="32"/>
        <v>0.20060925774574634</v>
      </c>
      <c r="J29" s="144">
        <f t="shared" si="18"/>
        <v>1.17</v>
      </c>
      <c r="K29" s="145"/>
      <c r="L29" s="38">
        <f t="shared" si="33"/>
        <v>0.85470085470085477</v>
      </c>
      <c r="M29" s="144">
        <f t="shared" si="27"/>
        <v>4.1131069609507636</v>
      </c>
      <c r="N29" s="145"/>
      <c r="O29" s="144">
        <f t="shared" si="19"/>
        <v>4.0281391897907692</v>
      </c>
      <c r="P29" s="145"/>
      <c r="Q29" s="45">
        <f t="shared" si="20"/>
        <v>0</v>
      </c>
      <c r="R29" s="38">
        <f t="shared" si="21"/>
        <v>4.0281391897907692</v>
      </c>
      <c r="S29" s="38">
        <f t="shared" si="28"/>
        <v>0.24825358630468336</v>
      </c>
      <c r="T29" s="38">
        <v>0</v>
      </c>
      <c r="U29" s="38">
        <v>0</v>
      </c>
      <c r="V29" s="144">
        <f t="shared" si="29"/>
        <v>4.3158542708497769E-2</v>
      </c>
      <c r="W29" s="145"/>
      <c r="X29" s="46"/>
      <c r="Y29" s="38">
        <f t="shared" si="30"/>
        <v>4.3158542708497769E-2</v>
      </c>
      <c r="Z29" s="38">
        <f t="shared" si="22"/>
        <v>0.29141212901318114</v>
      </c>
      <c r="AA29" s="38"/>
      <c r="AB29" s="115">
        <f t="shared" si="23"/>
        <v>3.6215661581634717</v>
      </c>
      <c r="AC29" s="115"/>
      <c r="AD29" s="39">
        <f t="shared" si="24"/>
        <v>3.6</v>
      </c>
      <c r="AL29" s="85"/>
      <c r="AM29" s="52"/>
    </row>
    <row r="30" spans="1:39" ht="13.5" customHeight="1" x14ac:dyDescent="0.25">
      <c r="A30" s="23">
        <f t="shared" si="34"/>
        <v>140</v>
      </c>
      <c r="B30" s="144">
        <f t="shared" si="26"/>
        <v>5.185185185185186</v>
      </c>
      <c r="C30" s="145"/>
      <c r="D30" s="144">
        <f t="shared" si="31"/>
        <v>1.0769230769230771</v>
      </c>
      <c r="E30" s="145"/>
      <c r="F30" s="144">
        <f t="shared" si="17"/>
        <v>5.3551851851851859</v>
      </c>
      <c r="G30" s="145"/>
      <c r="H30" s="46"/>
      <c r="I30" s="38">
        <f t="shared" si="32"/>
        <v>0.18673490559513103</v>
      </c>
      <c r="J30" s="144">
        <f t="shared" si="18"/>
        <v>1.246923076923077</v>
      </c>
      <c r="K30" s="145"/>
      <c r="L30" s="38">
        <f t="shared" si="33"/>
        <v>0.80197409006785925</v>
      </c>
      <c r="M30" s="144">
        <f t="shared" si="27"/>
        <v>4.4106208129469326</v>
      </c>
      <c r="N30" s="145"/>
      <c r="O30" s="144">
        <f t="shared" si="19"/>
        <v>4.3249191274669831</v>
      </c>
      <c r="P30" s="145"/>
      <c r="Q30" s="45">
        <f t="shared" si="20"/>
        <v>0</v>
      </c>
      <c r="R30" s="38">
        <f t="shared" si="21"/>
        <v>4.3249191274669831</v>
      </c>
      <c r="S30" s="38">
        <f t="shared" si="28"/>
        <v>0.23121819634710247</v>
      </c>
      <c r="T30" s="38">
        <v>0</v>
      </c>
      <c r="U30" s="38">
        <v>0</v>
      </c>
      <c r="V30" s="144">
        <f t="shared" si="29"/>
        <v>4.0318504166568583E-2</v>
      </c>
      <c r="W30" s="145"/>
      <c r="X30" s="46"/>
      <c r="Y30" s="38">
        <f t="shared" si="30"/>
        <v>4.0318504166568583E-2</v>
      </c>
      <c r="Z30" s="38">
        <f t="shared" si="22"/>
        <v>0.27153670051367107</v>
      </c>
      <c r="AA30" s="38"/>
      <c r="AB30" s="115">
        <f t="shared" si="23"/>
        <v>3.8727434306606852</v>
      </c>
      <c r="AC30" s="115"/>
      <c r="AD30" s="39">
        <f t="shared" si="24"/>
        <v>3.9</v>
      </c>
      <c r="AL30" s="85"/>
      <c r="AM30" s="52"/>
    </row>
    <row r="31" spans="1:39" ht="13.5" customHeight="1" x14ac:dyDescent="0.25">
      <c r="A31" s="23">
        <f t="shared" si="34"/>
        <v>150</v>
      </c>
      <c r="B31" s="144">
        <f t="shared" si="26"/>
        <v>5.5555555555555554</v>
      </c>
      <c r="C31" s="145"/>
      <c r="D31" s="144">
        <f t="shared" si="31"/>
        <v>1.1538461538461537</v>
      </c>
      <c r="E31" s="145"/>
      <c r="F31" s="144">
        <f t="shared" si="17"/>
        <v>5.7255555555555553</v>
      </c>
      <c r="G31" s="145"/>
      <c r="H31" s="46"/>
      <c r="I31" s="38">
        <f t="shared" si="32"/>
        <v>0.17465554046186688</v>
      </c>
      <c r="J31" s="144">
        <f t="shared" si="18"/>
        <v>1.3238461538461537</v>
      </c>
      <c r="K31" s="145"/>
      <c r="L31" s="38">
        <f t="shared" si="33"/>
        <v>0.75537478210342834</v>
      </c>
      <c r="M31" s="144">
        <f t="shared" si="27"/>
        <v>4.7080471425158601</v>
      </c>
      <c r="N31" s="145"/>
      <c r="O31" s="144">
        <f t="shared" si="19"/>
        <v>4.6216990651431953</v>
      </c>
      <c r="P31" s="145"/>
      <c r="Q31" s="45">
        <f t="shared" si="20"/>
        <v>0</v>
      </c>
      <c r="R31" s="38">
        <f t="shared" si="21"/>
        <v>4.6216990651431953</v>
      </c>
      <c r="S31" s="38">
        <f t="shared" si="28"/>
        <v>0.21637064332941736</v>
      </c>
      <c r="T31" s="38">
        <v>0</v>
      </c>
      <c r="U31" s="38">
        <v>0</v>
      </c>
      <c r="V31" s="144">
        <f t="shared" si="29"/>
        <v>3.782860177538163E-2</v>
      </c>
      <c r="W31" s="145"/>
      <c r="X31" s="46"/>
      <c r="Y31" s="38">
        <f t="shared" si="30"/>
        <v>3.782860177538163E-2</v>
      </c>
      <c r="Z31" s="38">
        <f t="shared" si="22"/>
        <v>0.25419924510479897</v>
      </c>
      <c r="AA31" s="38"/>
      <c r="AB31" s="115">
        <f t="shared" si="23"/>
        <v>4.1239219893738435</v>
      </c>
      <c r="AC31" s="115"/>
      <c r="AD31" s="39">
        <f t="shared" si="24"/>
        <v>4.0999999999999996</v>
      </c>
      <c r="AL31" s="85"/>
      <c r="AM31" s="52"/>
    </row>
    <row r="32" spans="1:39" ht="13.5" customHeight="1" x14ac:dyDescent="0.25">
      <c r="A32" s="23">
        <f>+A31+10</f>
        <v>160</v>
      </c>
      <c r="B32" s="144">
        <f t="shared" si="26"/>
        <v>5.9259259259259265</v>
      </c>
      <c r="C32" s="145"/>
      <c r="D32" s="144">
        <f t="shared" si="31"/>
        <v>1.2307692307692308</v>
      </c>
      <c r="E32" s="145"/>
      <c r="F32" s="144">
        <f t="shared" si="17"/>
        <v>6.0959259259259264</v>
      </c>
      <c r="G32" s="145"/>
      <c r="H32" s="46"/>
      <c r="I32" s="38">
        <f t="shared" si="32"/>
        <v>0.1640439880916216</v>
      </c>
      <c r="J32" s="144">
        <f t="shared" si="18"/>
        <v>1.4007692307692308</v>
      </c>
      <c r="K32" s="145"/>
      <c r="L32" s="38">
        <f t="shared" si="33"/>
        <v>0.71389346512904994</v>
      </c>
      <c r="M32" s="144">
        <f t="shared" si="27"/>
        <v>5.0054007247950034</v>
      </c>
      <c r="N32" s="145"/>
      <c r="O32" s="144">
        <f t="shared" si="19"/>
        <v>4.9184790028194092</v>
      </c>
      <c r="P32" s="145"/>
      <c r="Q32" s="45">
        <f t="shared" si="20"/>
        <v>0</v>
      </c>
      <c r="R32" s="38">
        <f t="shared" si="21"/>
        <v>4.9184790028194092</v>
      </c>
      <c r="S32" s="38">
        <f t="shared" si="28"/>
        <v>0.20331488645712875</v>
      </c>
      <c r="T32" s="38">
        <v>0</v>
      </c>
      <c r="U32" s="38">
        <v>0</v>
      </c>
      <c r="V32" s="144">
        <f t="shared" si="29"/>
        <v>3.5627938717060013E-2</v>
      </c>
      <c r="W32" s="145"/>
      <c r="X32" s="46"/>
      <c r="Y32" s="38">
        <f t="shared" si="30"/>
        <v>3.5627938717060013E-2</v>
      </c>
      <c r="Z32" s="38">
        <f t="shared" si="22"/>
        <v>0.23894282517418877</v>
      </c>
      <c r="AA32" s="38"/>
      <c r="AB32" s="115">
        <f t="shared" si="23"/>
        <v>4.3751016002301073</v>
      </c>
      <c r="AC32" s="115"/>
      <c r="AD32" s="39">
        <f t="shared" si="24"/>
        <v>4.4000000000000004</v>
      </c>
      <c r="AL32" s="85"/>
      <c r="AM32" s="52"/>
    </row>
    <row r="33" spans="1:39" ht="13.5" customHeight="1" x14ac:dyDescent="0.25">
      <c r="A33" s="23">
        <f t="shared" si="34"/>
        <v>170</v>
      </c>
      <c r="B33" s="144">
        <f t="shared" si="26"/>
        <v>6.2962962962962967</v>
      </c>
      <c r="C33" s="145"/>
      <c r="D33" s="144">
        <f t="shared" si="31"/>
        <v>1.3076923076923077</v>
      </c>
      <c r="E33" s="145"/>
      <c r="F33" s="144">
        <f t="shared" si="17"/>
        <v>6.4662962962962967</v>
      </c>
      <c r="G33" s="145"/>
      <c r="H33" s="46"/>
      <c r="I33" s="38">
        <f t="shared" si="32"/>
        <v>0.15464803253336387</v>
      </c>
      <c r="J33" s="144">
        <f t="shared" si="18"/>
        <v>1.4776923076923079</v>
      </c>
      <c r="K33" s="145"/>
      <c r="L33" s="38">
        <f t="shared" si="33"/>
        <v>0.67673086933888593</v>
      </c>
      <c r="M33" s="144">
        <f t="shared" si="27"/>
        <v>5.3026931863996767</v>
      </c>
      <c r="N33" s="145"/>
      <c r="O33" s="144">
        <f t="shared" si="19"/>
        <v>5.2152589404956222</v>
      </c>
      <c r="P33" s="145"/>
      <c r="Q33" s="45">
        <f t="shared" si="20"/>
        <v>0</v>
      </c>
      <c r="R33" s="38">
        <f t="shared" si="21"/>
        <v>5.2152589404956222</v>
      </c>
      <c r="S33" s="38">
        <f t="shared" si="28"/>
        <v>0.19174503345081595</v>
      </c>
      <c r="T33" s="38">
        <v>0</v>
      </c>
      <c r="U33" s="38">
        <v>0</v>
      </c>
      <c r="V33" s="144">
        <f t="shared" si="29"/>
        <v>3.3668946399210212E-2</v>
      </c>
      <c r="W33" s="145"/>
      <c r="X33" s="46"/>
      <c r="Y33" s="38">
        <f t="shared" si="30"/>
        <v>3.3668946399210212E-2</v>
      </c>
      <c r="Z33" s="38">
        <f t="shared" si="22"/>
        <v>0.22541397985002615</v>
      </c>
      <c r="AA33" s="38"/>
      <c r="AB33" s="115">
        <f t="shared" si="23"/>
        <v>4.6262820827054574</v>
      </c>
      <c r="AC33" s="115"/>
      <c r="AD33" s="39">
        <f t="shared" si="24"/>
        <v>4.5999999999999996</v>
      </c>
      <c r="AL33" s="85"/>
      <c r="AM33" s="52"/>
    </row>
    <row r="34" spans="1:39" ht="13.5" customHeight="1" x14ac:dyDescent="0.25">
      <c r="A34" s="23">
        <f t="shared" si="34"/>
        <v>180</v>
      </c>
      <c r="B34" s="144">
        <f t="shared" si="26"/>
        <v>6.6666666666666661</v>
      </c>
      <c r="C34" s="145"/>
      <c r="D34" s="144">
        <f t="shared" si="31"/>
        <v>1.3846153846153846</v>
      </c>
      <c r="E34" s="145"/>
      <c r="F34" s="144">
        <f t="shared" si="17"/>
        <v>6.836666666666666</v>
      </c>
      <c r="G34" s="145"/>
      <c r="H34" s="46"/>
      <c r="I34" s="38">
        <f t="shared" si="32"/>
        <v>0.14627011214041932</v>
      </c>
      <c r="J34" s="144">
        <f t="shared" si="18"/>
        <v>1.5546153846153845</v>
      </c>
      <c r="K34" s="145"/>
      <c r="L34" s="38">
        <f t="shared" si="33"/>
        <v>0.64324591786244434</v>
      </c>
      <c r="M34" s="144">
        <f t="shared" si="27"/>
        <v>5.5999338016752223</v>
      </c>
      <c r="N34" s="145"/>
      <c r="O34" s="144">
        <f t="shared" si="19"/>
        <v>5.5120388781718352</v>
      </c>
      <c r="P34" s="145"/>
      <c r="Q34" s="45">
        <f t="shared" si="20"/>
        <v>0</v>
      </c>
      <c r="R34" s="38">
        <f t="shared" si="21"/>
        <v>5.5120388781718352</v>
      </c>
      <c r="S34" s="38">
        <f t="shared" si="28"/>
        <v>0.18142107160384682</v>
      </c>
      <c r="T34" s="38">
        <v>0</v>
      </c>
      <c r="U34" s="38">
        <v>0</v>
      </c>
      <c r="V34" s="144">
        <f t="shared" si="29"/>
        <v>3.1913932212419241E-2</v>
      </c>
      <c r="W34" s="145"/>
      <c r="X34" s="46"/>
      <c r="Y34" s="38">
        <f t="shared" si="30"/>
        <v>3.1913932212419241E-2</v>
      </c>
      <c r="Z34" s="38">
        <f t="shared" si="22"/>
        <v>0.21333500381626608</v>
      </c>
      <c r="AA34" s="38"/>
      <c r="AB34" s="115">
        <f t="shared" si="23"/>
        <v>4.8774632953401591</v>
      </c>
      <c r="AC34" s="115"/>
      <c r="AD34" s="39">
        <f t="shared" si="24"/>
        <v>4.9000000000000004</v>
      </c>
      <c r="AL34" s="85"/>
      <c r="AM34" s="52"/>
    </row>
    <row r="35" spans="1:39" ht="13.5" customHeight="1" x14ac:dyDescent="0.25">
      <c r="A35" s="23">
        <f t="shared" si="34"/>
        <v>190</v>
      </c>
      <c r="B35" s="144">
        <f t="shared" si="26"/>
        <v>7.0370370370370372</v>
      </c>
      <c r="C35" s="145"/>
      <c r="D35" s="144">
        <f t="shared" si="31"/>
        <v>1.4615384615384615</v>
      </c>
      <c r="E35" s="145"/>
      <c r="F35" s="144">
        <f t="shared" si="17"/>
        <v>7.2070370370370371</v>
      </c>
      <c r="G35" s="145"/>
      <c r="H35" s="46"/>
      <c r="I35" s="38">
        <f t="shared" si="32"/>
        <v>0.13875327611901947</v>
      </c>
      <c r="J35" s="144">
        <f t="shared" si="18"/>
        <v>1.6315384615384616</v>
      </c>
      <c r="K35" s="145"/>
      <c r="L35" s="38">
        <f t="shared" si="33"/>
        <v>0.61291843470061291</v>
      </c>
      <c r="M35" s="144">
        <f t="shared" si="27"/>
        <v>5.897130058939096</v>
      </c>
      <c r="N35" s="145"/>
      <c r="O35" s="144">
        <f t="shared" si="19"/>
        <v>5.8088188158480483</v>
      </c>
      <c r="P35" s="145"/>
      <c r="Q35" s="45">
        <f t="shared" si="20"/>
        <v>0</v>
      </c>
      <c r="R35" s="38">
        <f t="shared" si="21"/>
        <v>5.8088188158480483</v>
      </c>
      <c r="S35" s="38">
        <f t="shared" si="28"/>
        <v>0.17215203842676693</v>
      </c>
      <c r="T35" s="38">
        <v>0</v>
      </c>
      <c r="U35" s="38">
        <v>0</v>
      </c>
      <c r="V35" s="144">
        <f t="shared" si="29"/>
        <v>3.0332646045339307E-2</v>
      </c>
      <c r="W35" s="145"/>
      <c r="X35" s="46"/>
      <c r="Y35" s="38">
        <f t="shared" si="30"/>
        <v>3.0332646045339307E-2</v>
      </c>
      <c r="Z35" s="38">
        <f t="shared" si="22"/>
        <v>0.20248468447210624</v>
      </c>
      <c r="AA35" s="38"/>
      <c r="AB35" s="115">
        <f t="shared" si="23"/>
        <v>5.1286451257144705</v>
      </c>
      <c r="AC35" s="115"/>
      <c r="AD35" s="39">
        <f t="shared" si="24"/>
        <v>5.0999999999999996</v>
      </c>
      <c r="AL35" s="85"/>
      <c r="AM35" s="52"/>
    </row>
    <row r="36" spans="1:39" ht="13.5" customHeight="1" x14ac:dyDescent="0.25">
      <c r="A36" s="23">
        <f t="shared" si="34"/>
        <v>200</v>
      </c>
      <c r="B36" s="144">
        <f t="shared" si="26"/>
        <v>7.4074074074074083</v>
      </c>
      <c r="C36" s="145"/>
      <c r="D36" s="144">
        <f t="shared" si="31"/>
        <v>1.5384615384615385</v>
      </c>
      <c r="E36" s="145"/>
      <c r="F36" s="144">
        <f t="shared" si="17"/>
        <v>7.5774074074074083</v>
      </c>
      <c r="G36" s="145"/>
      <c r="H36" s="46"/>
      <c r="I36" s="38">
        <f t="shared" si="32"/>
        <v>0.13197125959235542</v>
      </c>
      <c r="J36" s="144">
        <f t="shared" si="18"/>
        <v>1.7084615384615387</v>
      </c>
      <c r="K36" s="145"/>
      <c r="L36" s="38">
        <f t="shared" si="33"/>
        <v>0.58532192705988284</v>
      </c>
      <c r="M36" s="144">
        <f t="shared" si="27"/>
        <v>6.1942880706681027</v>
      </c>
      <c r="N36" s="145"/>
      <c r="O36" s="144">
        <f t="shared" si="19"/>
        <v>6.1055987535242613</v>
      </c>
      <c r="P36" s="145"/>
      <c r="Q36" s="45">
        <f t="shared" si="20"/>
        <v>0</v>
      </c>
      <c r="R36" s="38">
        <f t="shared" si="21"/>
        <v>6.1055987535242613</v>
      </c>
      <c r="S36" s="38">
        <f t="shared" si="28"/>
        <v>0.1637841005229474</v>
      </c>
      <c r="T36" s="38">
        <v>0</v>
      </c>
      <c r="U36" s="38">
        <v>0</v>
      </c>
      <c r="V36" s="144">
        <f t="shared" si="29"/>
        <v>2.890053171313026E-2</v>
      </c>
      <c r="W36" s="145"/>
      <c r="X36" s="46"/>
      <c r="Y36" s="38">
        <f t="shared" si="30"/>
        <v>2.890053171313026E-2</v>
      </c>
      <c r="Z36" s="38">
        <f t="shared" si="22"/>
        <v>0.19268463223607765</v>
      </c>
      <c r="AA36" s="38"/>
      <c r="AB36" s="115">
        <f t="shared" si="23"/>
        <v>5.3798274833604678</v>
      </c>
      <c r="AC36" s="115"/>
      <c r="AD36" s="39">
        <f t="shared" si="24"/>
        <v>5.4</v>
      </c>
      <c r="AL36" s="85"/>
      <c r="AM36" s="52"/>
    </row>
    <row r="37" spans="1:39" ht="13.5" customHeight="1" x14ac:dyDescent="0.25">
      <c r="A37" s="23">
        <f t="shared" si="34"/>
        <v>210</v>
      </c>
      <c r="B37" s="144">
        <f t="shared" si="26"/>
        <v>7.7777777777777777</v>
      </c>
      <c r="C37" s="145"/>
      <c r="D37" s="144">
        <f t="shared" si="31"/>
        <v>1.6153846153846152</v>
      </c>
      <c r="E37" s="145"/>
      <c r="F37" s="144">
        <f t="shared" si="17"/>
        <v>7.9477777777777776</v>
      </c>
      <c r="G37" s="145"/>
      <c r="H37" s="46"/>
      <c r="I37" s="38">
        <f t="shared" si="32"/>
        <v>0.12582133370613729</v>
      </c>
      <c r="J37" s="144">
        <f t="shared" si="18"/>
        <v>1.7853846153846153</v>
      </c>
      <c r="K37" s="145"/>
      <c r="L37" s="38">
        <f t="shared" si="33"/>
        <v>0.56010340370529943</v>
      </c>
      <c r="M37" s="144">
        <f t="shared" si="27"/>
        <v>6.4914128756036042</v>
      </c>
      <c r="N37" s="145"/>
      <c r="O37" s="144">
        <f t="shared" si="19"/>
        <v>6.4023786912004743</v>
      </c>
      <c r="P37" s="145"/>
      <c r="Q37" s="45">
        <f t="shared" si="20"/>
        <v>0</v>
      </c>
      <c r="R37" s="38">
        <f t="shared" si="21"/>
        <v>6.4023786912004743</v>
      </c>
      <c r="S37" s="38">
        <f t="shared" si="28"/>
        <v>0.15619194806055678</v>
      </c>
      <c r="T37" s="38">
        <v>0</v>
      </c>
      <c r="U37" s="38">
        <v>0</v>
      </c>
      <c r="V37" s="144">
        <f t="shared" si="29"/>
        <v>2.7597448732655631E-2</v>
      </c>
      <c r="W37" s="145"/>
      <c r="X37" s="46"/>
      <c r="Y37" s="38">
        <f t="shared" si="30"/>
        <v>2.7597448732655631E-2</v>
      </c>
      <c r="Z37" s="38">
        <f t="shared" si="22"/>
        <v>0.18378939679321241</v>
      </c>
      <c r="AA37" s="38"/>
      <c r="AB37" s="115">
        <f t="shared" si="23"/>
        <v>5.6310102946533611</v>
      </c>
      <c r="AC37" s="115"/>
      <c r="AD37" s="39">
        <f t="shared" si="24"/>
        <v>5.6</v>
      </c>
      <c r="AL37" s="85"/>
      <c r="AM37" s="52"/>
    </row>
    <row r="38" spans="1:39" ht="13.5" customHeight="1" x14ac:dyDescent="0.25">
      <c r="A38" s="41">
        <f t="shared" si="34"/>
        <v>220</v>
      </c>
      <c r="B38" s="136">
        <f t="shared" si="26"/>
        <v>8.1481481481481488</v>
      </c>
      <c r="C38" s="137"/>
      <c r="D38" s="136">
        <f t="shared" si="31"/>
        <v>1.6923076923076923</v>
      </c>
      <c r="E38" s="137"/>
      <c r="F38" s="144">
        <f t="shared" si="17"/>
        <v>8.3181481481481487</v>
      </c>
      <c r="G38" s="145"/>
      <c r="H38" s="47"/>
      <c r="I38" s="48">
        <f t="shared" si="32"/>
        <v>0.12021906585333274</v>
      </c>
      <c r="J38" s="144">
        <f t="shared" si="18"/>
        <v>1.8623076923076924</v>
      </c>
      <c r="K38" s="145"/>
      <c r="L38" s="48">
        <f t="shared" si="33"/>
        <v>0.53696819496075998</v>
      </c>
      <c r="M38" s="136">
        <f t="shared" si="27"/>
        <v>6.7885086646024764</v>
      </c>
      <c r="N38" s="137"/>
      <c r="O38" s="144">
        <f t="shared" si="19"/>
        <v>6.6991586288766873</v>
      </c>
      <c r="P38" s="145"/>
      <c r="Q38" s="45">
        <f t="shared" si="20"/>
        <v>0</v>
      </c>
      <c r="R38" s="38">
        <f t="shared" si="21"/>
        <v>6.6991586288766873</v>
      </c>
      <c r="S38" s="48">
        <f t="shared" si="28"/>
        <v>0.14927247664945645</v>
      </c>
      <c r="T38" s="48">
        <v>0</v>
      </c>
      <c r="U38" s="48">
        <v>0</v>
      </c>
      <c r="V38" s="136">
        <f t="shared" si="29"/>
        <v>2.6406723322237268E-2</v>
      </c>
      <c r="W38" s="137"/>
      <c r="X38" s="47"/>
      <c r="Y38" s="48">
        <f t="shared" si="30"/>
        <v>2.6406723322237268E-2</v>
      </c>
      <c r="Z38" s="48">
        <f t="shared" si="22"/>
        <v>0.17567919997169371</v>
      </c>
      <c r="AA38" s="38"/>
      <c r="AB38" s="115">
        <f t="shared" si="23"/>
        <v>5.8821934990660534</v>
      </c>
      <c r="AC38" s="115"/>
      <c r="AD38" s="39">
        <f t="shared" si="24"/>
        <v>5.9</v>
      </c>
      <c r="AL38" s="85"/>
      <c r="AM38" s="52"/>
    </row>
    <row r="39" spans="1:39" x14ac:dyDescent="0.25">
      <c r="A39" s="138" t="s">
        <v>71</v>
      </c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1"/>
    </row>
    <row r="40" spans="1:39" x14ac:dyDescent="0.25">
      <c r="A40" s="139"/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3"/>
    </row>
    <row r="41" spans="1:39" x14ac:dyDescent="0.25">
      <c r="A41" s="139"/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3"/>
    </row>
  </sheetData>
  <sheetProtection selectLockedCells="1"/>
  <mergeCells count="225">
    <mergeCell ref="S1:AD2"/>
    <mergeCell ref="F2:G2"/>
    <mergeCell ref="A3:G3"/>
    <mergeCell ref="H3:K3"/>
    <mergeCell ref="M3:R3"/>
    <mergeCell ref="S3:AD5"/>
    <mergeCell ref="A4:G4"/>
    <mergeCell ref="H4:K4"/>
    <mergeCell ref="M4:R4"/>
    <mergeCell ref="A5:I5"/>
    <mergeCell ref="J5:K5"/>
    <mergeCell ref="M5:R5"/>
    <mergeCell ref="A8:A16"/>
    <mergeCell ref="B8:C12"/>
    <mergeCell ref="D8:E12"/>
    <mergeCell ref="F8:H12"/>
    <mergeCell ref="I8:I12"/>
    <mergeCell ref="J8:K12"/>
    <mergeCell ref="A1:G1"/>
    <mergeCell ref="I1:P2"/>
    <mergeCell ref="Q1:R2"/>
    <mergeCell ref="O6:P6"/>
    <mergeCell ref="V6:X6"/>
    <mergeCell ref="AA6:AC6"/>
    <mergeCell ref="B7:C7"/>
    <mergeCell ref="F7:H7"/>
    <mergeCell ref="J7:K7"/>
    <mergeCell ref="M7:N7"/>
    <mergeCell ref="O7:P7"/>
    <mergeCell ref="V7:X7"/>
    <mergeCell ref="AA7:AC7"/>
    <mergeCell ref="B6:C6"/>
    <mergeCell ref="D6:E6"/>
    <mergeCell ref="F6:H6"/>
    <mergeCell ref="J6:K6"/>
    <mergeCell ref="M6:N6"/>
    <mergeCell ref="Z8:Z12"/>
    <mergeCell ref="AA8:AC12"/>
    <mergeCell ref="AD8:AD12"/>
    <mergeCell ref="M12:M14"/>
    <mergeCell ref="N12:N14"/>
    <mergeCell ref="I13:I16"/>
    <mergeCell ref="J13:K15"/>
    <mergeCell ref="L13:L16"/>
    <mergeCell ref="O13:P13"/>
    <mergeCell ref="T13:T16"/>
    <mergeCell ref="S8:S14"/>
    <mergeCell ref="T8:T12"/>
    <mergeCell ref="U8:U12"/>
    <mergeCell ref="V8:W13"/>
    <mergeCell ref="X8:X13"/>
    <mergeCell ref="Y8:Y12"/>
    <mergeCell ref="U13:U16"/>
    <mergeCell ref="Y13:Y16"/>
    <mergeCell ref="L8:L12"/>
    <mergeCell ref="M8:M11"/>
    <mergeCell ref="N8:N11"/>
    <mergeCell ref="O8:P12"/>
    <mergeCell ref="Q8:Q14"/>
    <mergeCell ref="R8:R14"/>
    <mergeCell ref="Z13:Z16"/>
    <mergeCell ref="AD13:AD16"/>
    <mergeCell ref="B14:C16"/>
    <mergeCell ref="D14:E16"/>
    <mergeCell ref="M15:N16"/>
    <mergeCell ref="Q15:Q16"/>
    <mergeCell ref="R15:R16"/>
    <mergeCell ref="S15:S16"/>
    <mergeCell ref="G16:H16"/>
    <mergeCell ref="V20:W20"/>
    <mergeCell ref="B21:C21"/>
    <mergeCell ref="D21:E21"/>
    <mergeCell ref="F21:G21"/>
    <mergeCell ref="J21:K21"/>
    <mergeCell ref="M21:N21"/>
    <mergeCell ref="O21:P21"/>
    <mergeCell ref="V21:W21"/>
    <mergeCell ref="B20:C20"/>
    <mergeCell ref="D20:E20"/>
    <mergeCell ref="F20:G20"/>
    <mergeCell ref="J20:K20"/>
    <mergeCell ref="M20:N20"/>
    <mergeCell ref="O20:P20"/>
    <mergeCell ref="V22:W22"/>
    <mergeCell ref="B23:C23"/>
    <mergeCell ref="D23:E23"/>
    <mergeCell ref="F23:G23"/>
    <mergeCell ref="J23:K23"/>
    <mergeCell ref="M23:N23"/>
    <mergeCell ref="O23:P23"/>
    <mergeCell ref="V23:W23"/>
    <mergeCell ref="B22:C22"/>
    <mergeCell ref="D22:E22"/>
    <mergeCell ref="F22:G22"/>
    <mergeCell ref="J22:K22"/>
    <mergeCell ref="M22:N22"/>
    <mergeCell ref="O22:P22"/>
    <mergeCell ref="V24:W24"/>
    <mergeCell ref="B25:C25"/>
    <mergeCell ref="D25:E25"/>
    <mergeCell ref="F25:G25"/>
    <mergeCell ref="J25:K25"/>
    <mergeCell ref="M25:N25"/>
    <mergeCell ref="O25:P25"/>
    <mergeCell ref="V25:W25"/>
    <mergeCell ref="B24:C24"/>
    <mergeCell ref="D24:E24"/>
    <mergeCell ref="F24:G24"/>
    <mergeCell ref="J24:K24"/>
    <mergeCell ref="M24:N24"/>
    <mergeCell ref="O24:P24"/>
    <mergeCell ref="V26:W26"/>
    <mergeCell ref="B27:C27"/>
    <mergeCell ref="D27:E27"/>
    <mergeCell ref="F27:G27"/>
    <mergeCell ref="J27:K27"/>
    <mergeCell ref="M27:N27"/>
    <mergeCell ref="O27:P27"/>
    <mergeCell ref="V27:W27"/>
    <mergeCell ref="B26:C26"/>
    <mergeCell ref="D26:E26"/>
    <mergeCell ref="F26:G26"/>
    <mergeCell ref="J26:K26"/>
    <mergeCell ref="M26:N26"/>
    <mergeCell ref="O26:P26"/>
    <mergeCell ref="V28:W28"/>
    <mergeCell ref="B29:C29"/>
    <mergeCell ref="D29:E29"/>
    <mergeCell ref="F29:G29"/>
    <mergeCell ref="J29:K29"/>
    <mergeCell ref="M29:N29"/>
    <mergeCell ref="O29:P29"/>
    <mergeCell ref="V29:W29"/>
    <mergeCell ref="B28:C28"/>
    <mergeCell ref="D28:E28"/>
    <mergeCell ref="F28:G28"/>
    <mergeCell ref="J28:K28"/>
    <mergeCell ref="M28:N28"/>
    <mergeCell ref="O28:P28"/>
    <mergeCell ref="V30:W30"/>
    <mergeCell ref="B31:C31"/>
    <mergeCell ref="D31:E31"/>
    <mergeCell ref="F31:G31"/>
    <mergeCell ref="J31:K31"/>
    <mergeCell ref="M31:N31"/>
    <mergeCell ref="O31:P31"/>
    <mergeCell ref="V31:W31"/>
    <mergeCell ref="B30:C30"/>
    <mergeCell ref="D30:E30"/>
    <mergeCell ref="F30:G30"/>
    <mergeCell ref="J30:K30"/>
    <mergeCell ref="M30:N30"/>
    <mergeCell ref="O30:P30"/>
    <mergeCell ref="V32:W32"/>
    <mergeCell ref="B33:C33"/>
    <mergeCell ref="D33:E33"/>
    <mergeCell ref="F33:G33"/>
    <mergeCell ref="J33:K33"/>
    <mergeCell ref="M33:N33"/>
    <mergeCell ref="O33:P33"/>
    <mergeCell ref="V33:W33"/>
    <mergeCell ref="B32:C32"/>
    <mergeCell ref="D32:E32"/>
    <mergeCell ref="F32:G32"/>
    <mergeCell ref="J32:K32"/>
    <mergeCell ref="M32:N32"/>
    <mergeCell ref="O32:P32"/>
    <mergeCell ref="V34:W34"/>
    <mergeCell ref="B35:C35"/>
    <mergeCell ref="D35:E35"/>
    <mergeCell ref="F35:G35"/>
    <mergeCell ref="J35:K35"/>
    <mergeCell ref="M35:N35"/>
    <mergeCell ref="O35:P35"/>
    <mergeCell ref="V35:W35"/>
    <mergeCell ref="B34:C34"/>
    <mergeCell ref="D34:E34"/>
    <mergeCell ref="F34:G34"/>
    <mergeCell ref="J34:K34"/>
    <mergeCell ref="M34:N34"/>
    <mergeCell ref="O34:P34"/>
    <mergeCell ref="V36:W36"/>
    <mergeCell ref="B37:C37"/>
    <mergeCell ref="D37:E37"/>
    <mergeCell ref="F37:G37"/>
    <mergeCell ref="J37:K37"/>
    <mergeCell ref="M37:N37"/>
    <mergeCell ref="O37:P37"/>
    <mergeCell ref="V37:W37"/>
    <mergeCell ref="B36:C36"/>
    <mergeCell ref="D36:E36"/>
    <mergeCell ref="F36:G36"/>
    <mergeCell ref="J36:K36"/>
    <mergeCell ref="M36:N36"/>
    <mergeCell ref="O36:P36"/>
    <mergeCell ref="V38:W38"/>
    <mergeCell ref="A39:A41"/>
    <mergeCell ref="B39:AD41"/>
    <mergeCell ref="B38:C38"/>
    <mergeCell ref="D38:E38"/>
    <mergeCell ref="F38:G38"/>
    <mergeCell ref="J38:K38"/>
    <mergeCell ref="M38:N38"/>
    <mergeCell ref="O38:P38"/>
    <mergeCell ref="B19:C19"/>
    <mergeCell ref="D19:E19"/>
    <mergeCell ref="F19:G19"/>
    <mergeCell ref="J19:K19"/>
    <mergeCell ref="M19:N19"/>
    <mergeCell ref="O19:P19"/>
    <mergeCell ref="V19:W19"/>
    <mergeCell ref="B17:C17"/>
    <mergeCell ref="D17:E17"/>
    <mergeCell ref="F17:G17"/>
    <mergeCell ref="J17:K17"/>
    <mergeCell ref="M17:N17"/>
    <mergeCell ref="O17:P17"/>
    <mergeCell ref="V17:W17"/>
    <mergeCell ref="B18:C18"/>
    <mergeCell ref="D18:E18"/>
    <mergeCell ref="F18:G18"/>
    <mergeCell ref="J18:K18"/>
    <mergeCell ref="M18:N18"/>
    <mergeCell ref="O18:P18"/>
    <mergeCell ref="V18:W18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Drop Down 1">
              <controlPr defaultSize="0" autoLine="0" autoPict="0">
                <anchor moveWithCells="1" sizeWithCells="1">
                  <from>
                    <xdr:col>3</xdr:col>
                    <xdr:colOff>9525</xdr:colOff>
                    <xdr:row>0</xdr:row>
                    <xdr:rowOff>0</xdr:rowOff>
                  </from>
                  <to>
                    <xdr:col>7</xdr:col>
                    <xdr:colOff>552450</xdr:colOff>
                    <xdr:row>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Drop Down 2">
              <controlPr defaultSize="0" autoLine="0" autoPict="0">
                <anchor moveWithCells="1" sizeWithCells="1">
                  <from>
                    <xdr:col>3</xdr:col>
                    <xdr:colOff>9525</xdr:colOff>
                    <xdr:row>2</xdr:row>
                    <xdr:rowOff>0</xdr:rowOff>
                  </from>
                  <to>
                    <xdr:col>7</xdr:col>
                    <xdr:colOff>19050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Drop Down 3">
              <controlPr defaultSize="0" autoLine="0" autoPict="0">
                <anchor moveWithCells="1" sizeWithCells="1">
                  <from>
                    <xdr:col>8</xdr:col>
                    <xdr:colOff>133350</xdr:colOff>
                    <xdr:row>3</xdr:row>
                    <xdr:rowOff>219075</xdr:rowOff>
                  </from>
                  <to>
                    <xdr:col>9</xdr:col>
                    <xdr:colOff>19050</xdr:colOff>
                    <xdr:row>4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841B0-FB56-4E85-A602-2BB0D7D41395}">
  <dimension ref="A1:AP38"/>
  <sheetViews>
    <sheetView zoomScaleNormal="100" workbookViewId="0">
      <selection activeCell="O26" sqref="O26:P26"/>
    </sheetView>
  </sheetViews>
  <sheetFormatPr defaultColWidth="8.7109375" defaultRowHeight="15" x14ac:dyDescent="0.25"/>
  <cols>
    <col min="1" max="1" width="4.5703125" style="23" customWidth="1"/>
    <col min="2" max="2" width="4.140625" style="23" customWidth="1"/>
    <col min="3" max="3" width="9.140625" style="23" customWidth="1"/>
    <col min="4" max="4" width="4.42578125" style="23" customWidth="1"/>
    <col min="5" max="5" width="7.85546875" style="23" customWidth="1"/>
    <col min="6" max="6" width="4.140625" style="23" customWidth="1"/>
    <col min="7" max="7" width="4.42578125" style="23" customWidth="1"/>
    <col min="8" max="8" width="8.28515625" style="23" bestFit="1" customWidth="1"/>
    <col min="9" max="9" width="8.7109375" style="23"/>
    <col min="10" max="10" width="4.140625" style="23" customWidth="1"/>
    <col min="11" max="11" width="8.42578125" style="23" customWidth="1"/>
    <col min="12" max="12" width="7.7109375" style="23" customWidth="1"/>
    <col min="13" max="13" width="9.140625" style="23" customWidth="1"/>
    <col min="14" max="14" width="3.85546875" style="23" customWidth="1"/>
    <col min="15" max="15" width="7.140625" style="23" customWidth="1"/>
    <col min="16" max="16" width="4.5703125" style="23" customWidth="1"/>
    <col min="17" max="17" width="8.140625" style="23" customWidth="1"/>
    <col min="18" max="18" width="8.7109375" style="23"/>
    <col min="19" max="21" width="7" style="23" customWidth="1"/>
    <col min="22" max="22" width="4.140625" style="23" customWidth="1"/>
    <col min="23" max="23" width="9.28515625" style="23" customWidth="1"/>
    <col min="24" max="24" width="8.28515625" style="23" customWidth="1"/>
    <col min="25" max="26" width="7.140625" style="23" customWidth="1"/>
    <col min="27" max="27" width="5.42578125" style="23" customWidth="1"/>
    <col min="28" max="28" width="5.85546875" style="23" customWidth="1"/>
    <col min="29" max="29" width="6.28515625" style="23" customWidth="1"/>
    <col min="30" max="30" width="7.28515625" style="23" customWidth="1"/>
    <col min="31" max="31" width="8.7109375" style="23" hidden="1" customWidth="1"/>
    <col min="32" max="32" width="31.5703125" style="23" hidden="1" customWidth="1"/>
    <col min="33" max="36" width="8.7109375" style="23" hidden="1" customWidth="1"/>
    <col min="37" max="16384" width="8.7109375" style="23"/>
  </cols>
  <sheetData>
    <row r="1" spans="1:42" s="21" customFormat="1" ht="17.45" customHeight="1" x14ac:dyDescent="0.25">
      <c r="A1" s="226" t="s">
        <v>72</v>
      </c>
      <c r="B1" s="226"/>
      <c r="C1" s="226"/>
      <c r="D1" s="226"/>
      <c r="E1" s="226"/>
      <c r="F1" s="226"/>
      <c r="G1" s="226"/>
      <c r="H1" s="20"/>
      <c r="I1" s="240" t="s">
        <v>127</v>
      </c>
      <c r="J1" s="240"/>
      <c r="K1" s="240"/>
      <c r="L1" s="240"/>
      <c r="M1" s="240"/>
      <c r="N1" s="240"/>
      <c r="O1" s="240"/>
      <c r="P1" s="240"/>
      <c r="Q1" s="241" t="s">
        <v>101</v>
      </c>
      <c r="R1" s="241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17">
        <v>4</v>
      </c>
      <c r="AF1" s="17" t="s">
        <v>69</v>
      </c>
      <c r="AG1" s="21">
        <v>1</v>
      </c>
      <c r="AH1" s="22">
        <v>0.17</v>
      </c>
      <c r="AI1" s="22">
        <v>0</v>
      </c>
      <c r="AJ1" s="22">
        <v>0.15</v>
      </c>
      <c r="AL1" s="55"/>
      <c r="AO1" s="51"/>
      <c r="AP1" s="51"/>
    </row>
    <row r="2" spans="1:42" s="21" customFormat="1" ht="40.5" customHeight="1" x14ac:dyDescent="0.25">
      <c r="A2" s="43" t="s">
        <v>74</v>
      </c>
      <c r="B2" s="20"/>
      <c r="C2" s="20"/>
      <c r="D2" s="20"/>
      <c r="E2" s="20"/>
      <c r="F2" s="224">
        <v>2.7E-2</v>
      </c>
      <c r="G2" s="225"/>
      <c r="H2" s="91" t="s">
        <v>100</v>
      </c>
      <c r="I2" s="240"/>
      <c r="J2" s="240"/>
      <c r="K2" s="240"/>
      <c r="L2" s="240"/>
      <c r="M2" s="240"/>
      <c r="N2" s="240"/>
      <c r="O2" s="240"/>
      <c r="P2" s="240"/>
      <c r="Q2" s="241"/>
      <c r="R2" s="241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F2" s="17" t="s">
        <v>70</v>
      </c>
      <c r="AG2" s="21">
        <f>+AG1+1</f>
        <v>2</v>
      </c>
      <c r="AH2" s="22">
        <v>0.17</v>
      </c>
      <c r="AI2" s="22">
        <v>0.17</v>
      </c>
      <c r="AJ2" s="22">
        <v>0.15</v>
      </c>
      <c r="AL2" s="67" t="s">
        <v>84</v>
      </c>
      <c r="AM2" s="49"/>
      <c r="AN2" s="70"/>
      <c r="AO2" s="68" t="s">
        <v>76</v>
      </c>
      <c r="AP2" s="68" t="s">
        <v>77</v>
      </c>
    </row>
    <row r="3" spans="1:42" s="21" customFormat="1" ht="17.45" customHeight="1" x14ac:dyDescent="0.25">
      <c r="A3" s="226" t="s">
        <v>73</v>
      </c>
      <c r="B3" s="226"/>
      <c r="C3" s="226"/>
      <c r="D3" s="226"/>
      <c r="E3" s="226"/>
      <c r="F3" s="226"/>
      <c r="G3" s="226"/>
      <c r="H3" s="227" t="s">
        <v>130</v>
      </c>
      <c r="I3" s="227"/>
      <c r="J3" s="227"/>
      <c r="K3" s="227"/>
      <c r="L3" s="42">
        <v>5</v>
      </c>
      <c r="M3" s="228" t="str">
        <f>+IF(AE5=1,IF(ISBLANK(L3),"","geen waarde invullen"),IF(AND(AE5&gt;1,L3=0),"aantal bevestigers invullen","stuks/m²"))</f>
        <v>stuks/m²</v>
      </c>
      <c r="N3" s="228"/>
      <c r="O3" s="228"/>
      <c r="P3" s="228"/>
      <c r="Q3" s="228"/>
      <c r="R3" s="228"/>
      <c r="S3" s="229" t="s">
        <v>123</v>
      </c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F3" s="17" t="s">
        <v>46</v>
      </c>
      <c r="AG3" s="21">
        <f>+AG2+1</f>
        <v>3</v>
      </c>
      <c r="AH3" s="22">
        <v>0.13</v>
      </c>
      <c r="AI3" s="22">
        <v>0.04</v>
      </c>
      <c r="AJ3" s="22">
        <v>0.36</v>
      </c>
      <c r="AL3" s="59" t="s">
        <v>99</v>
      </c>
      <c r="AM3" s="59" t="s">
        <v>96</v>
      </c>
      <c r="AN3" s="71">
        <v>2.7E-2</v>
      </c>
      <c r="AO3" s="50"/>
      <c r="AP3" s="50"/>
    </row>
    <row r="4" spans="1:42" s="21" customFormat="1" ht="17.45" customHeight="1" x14ac:dyDescent="0.25">
      <c r="A4" s="232"/>
      <c r="B4" s="232"/>
      <c r="C4" s="232"/>
      <c r="D4" s="232"/>
      <c r="E4" s="232"/>
      <c r="F4" s="232"/>
      <c r="G4" s="232"/>
      <c r="H4" s="227" t="str">
        <f>+IF(AE5&gt;1,"diameter bevestiger","")</f>
        <v>diameter bevestiger</v>
      </c>
      <c r="I4" s="227"/>
      <c r="J4" s="227"/>
      <c r="K4" s="227"/>
      <c r="L4" s="42">
        <v>5</v>
      </c>
      <c r="M4" s="233" t="str">
        <f>+IF(AE5=1,IF(ISBLANK(L4),"","geen waarde invullen"),IF(AND(AE5&gt;1,L4=0),"diameter bevestigers invullen","mm"))</f>
        <v>mm</v>
      </c>
      <c r="N4" s="233"/>
      <c r="O4" s="233"/>
      <c r="P4" s="233"/>
      <c r="Q4" s="233"/>
      <c r="R4" s="233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F4" s="17" t="s">
        <v>47</v>
      </c>
      <c r="AG4" s="21">
        <f>+AG3+1</f>
        <v>4</v>
      </c>
      <c r="AH4" s="22">
        <v>0.1</v>
      </c>
      <c r="AI4" s="22">
        <v>0.04</v>
      </c>
      <c r="AJ4" s="22">
        <v>0.22</v>
      </c>
      <c r="AM4" s="21" t="s">
        <v>75</v>
      </c>
      <c r="AN4" s="50"/>
      <c r="AO4" s="69">
        <v>1</v>
      </c>
      <c r="AP4" s="69">
        <v>1</v>
      </c>
    </row>
    <row r="5" spans="1:42" s="21" customFormat="1" ht="17.45" customHeight="1" thickBot="1" x14ac:dyDescent="0.3">
      <c r="A5" s="234" t="s">
        <v>68</v>
      </c>
      <c r="B5" s="234"/>
      <c r="C5" s="234"/>
      <c r="D5" s="234"/>
      <c r="E5" s="234"/>
      <c r="F5" s="234"/>
      <c r="G5" s="234"/>
      <c r="H5" s="234"/>
      <c r="I5" s="234"/>
      <c r="J5" s="235" t="str">
        <f>+IF(AE8=1,"hout %","")</f>
        <v>hout %</v>
      </c>
      <c r="K5" s="235"/>
      <c r="L5" s="18">
        <v>6.5000000000000002E-2</v>
      </c>
      <c r="M5" s="236" t="str">
        <f>+IF(AE8=2,IF(ISBLANK(L5),"","geen waarde invullen"),IF(AND(AE8=1,ISNUMBER(L5),L5&gt;0),"","percentage invullen"))</f>
        <v/>
      </c>
      <c r="N5" s="236"/>
      <c r="O5" s="236"/>
      <c r="P5" s="236"/>
      <c r="Q5" s="236"/>
      <c r="R5" s="236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19">
        <v>2</v>
      </c>
      <c r="AF5" s="19" t="s">
        <v>57</v>
      </c>
      <c r="AG5" s="23">
        <v>1</v>
      </c>
      <c r="AH5" s="24" t="s">
        <v>62</v>
      </c>
      <c r="AI5" s="25" t="s">
        <v>60</v>
      </c>
      <c r="AM5" s="21" t="s">
        <v>97</v>
      </c>
      <c r="AN5" s="90">
        <f>AN3*AO4*AP4</f>
        <v>2.7E-2</v>
      </c>
      <c r="AO5" s="50"/>
      <c r="AP5" s="50"/>
    </row>
    <row r="6" spans="1:42" ht="13.5" customHeight="1" x14ac:dyDescent="0.25">
      <c r="A6" s="26" t="s">
        <v>63</v>
      </c>
      <c r="B6" s="149" t="s">
        <v>27</v>
      </c>
      <c r="C6" s="151"/>
      <c r="D6" s="149" t="s">
        <v>28</v>
      </c>
      <c r="E6" s="151"/>
      <c r="F6" s="149" t="s">
        <v>29</v>
      </c>
      <c r="G6" s="150"/>
      <c r="H6" s="151"/>
      <c r="I6" s="9" t="s">
        <v>30</v>
      </c>
      <c r="J6" s="149" t="s">
        <v>31</v>
      </c>
      <c r="K6" s="151"/>
      <c r="L6" s="13" t="s">
        <v>32</v>
      </c>
      <c r="M6" s="149" t="s">
        <v>33</v>
      </c>
      <c r="N6" s="150"/>
      <c r="O6" s="149" t="s">
        <v>34</v>
      </c>
      <c r="P6" s="150"/>
      <c r="Q6" s="13" t="s">
        <v>21</v>
      </c>
      <c r="R6" s="9" t="s">
        <v>35</v>
      </c>
      <c r="S6" s="13" t="s">
        <v>36</v>
      </c>
      <c r="T6" s="9" t="s">
        <v>37</v>
      </c>
      <c r="U6" s="9" t="s">
        <v>38</v>
      </c>
      <c r="V6" s="149" t="s">
        <v>39</v>
      </c>
      <c r="W6" s="150"/>
      <c r="X6" s="151"/>
      <c r="Y6" s="9" t="s">
        <v>1</v>
      </c>
      <c r="Z6" s="11" t="s">
        <v>40</v>
      </c>
      <c r="AA6" s="152" t="s">
        <v>41</v>
      </c>
      <c r="AB6" s="153"/>
      <c r="AC6" s="154"/>
      <c r="AD6" s="13" t="s">
        <v>41</v>
      </c>
      <c r="AF6" s="19" t="s">
        <v>58</v>
      </c>
      <c r="AG6" s="23">
        <f>+AG5+1</f>
        <v>2</v>
      </c>
      <c r="AH6" s="23">
        <v>50</v>
      </c>
      <c r="AI6" s="23" t="s">
        <v>61</v>
      </c>
      <c r="AL6" s="49"/>
      <c r="AM6" s="65" t="s">
        <v>98</v>
      </c>
      <c r="AN6" s="72">
        <f>AN5</f>
        <v>2.7E-2</v>
      </c>
      <c r="AO6" s="66"/>
      <c r="AP6" s="66"/>
    </row>
    <row r="7" spans="1:42" ht="13.5" customHeight="1" x14ac:dyDescent="0.25">
      <c r="A7" s="27"/>
      <c r="B7" s="201" t="s">
        <v>56</v>
      </c>
      <c r="C7" s="203"/>
      <c r="D7" s="10"/>
      <c r="E7" s="28"/>
      <c r="F7" s="201" t="s">
        <v>44</v>
      </c>
      <c r="G7" s="202"/>
      <c r="H7" s="203"/>
      <c r="I7" s="10" t="s">
        <v>43</v>
      </c>
      <c r="J7" s="201" t="s">
        <v>44</v>
      </c>
      <c r="K7" s="203"/>
      <c r="L7" s="14" t="s">
        <v>43</v>
      </c>
      <c r="M7" s="201" t="s">
        <v>54</v>
      </c>
      <c r="N7" s="202"/>
      <c r="O7" s="201" t="s">
        <v>55</v>
      </c>
      <c r="P7" s="202"/>
      <c r="Q7" s="14" t="s">
        <v>52</v>
      </c>
      <c r="R7" s="10" t="s">
        <v>53</v>
      </c>
      <c r="S7" s="14" t="s">
        <v>43</v>
      </c>
      <c r="T7" s="10" t="s">
        <v>49</v>
      </c>
      <c r="U7" s="10">
        <v>8.1300000000000008</v>
      </c>
      <c r="V7" s="201" t="s">
        <v>50</v>
      </c>
      <c r="W7" s="202"/>
      <c r="X7" s="203"/>
      <c r="Y7" s="10" t="s">
        <v>48</v>
      </c>
      <c r="Z7" s="12" t="s">
        <v>42</v>
      </c>
      <c r="AA7" s="155" t="s">
        <v>51</v>
      </c>
      <c r="AB7" s="156"/>
      <c r="AC7" s="157"/>
      <c r="AD7" s="14"/>
      <c r="AF7" s="19" t="s">
        <v>59</v>
      </c>
      <c r="AG7" s="23">
        <f>+AG6+1</f>
        <v>3</v>
      </c>
      <c r="AH7" s="23">
        <v>17</v>
      </c>
      <c r="AI7" s="23" t="s">
        <v>61</v>
      </c>
    </row>
    <row r="8" spans="1:42" ht="13.5" customHeight="1" x14ac:dyDescent="0.25">
      <c r="A8" s="237" t="s">
        <v>65</v>
      </c>
      <c r="B8" s="158" t="s">
        <v>3</v>
      </c>
      <c r="C8" s="217"/>
      <c r="D8" s="158" t="s">
        <v>3</v>
      </c>
      <c r="E8" s="217"/>
      <c r="F8" s="158" t="s">
        <v>119</v>
      </c>
      <c r="G8" s="217"/>
      <c r="H8" s="208"/>
      <c r="I8" s="158" t="s">
        <v>9</v>
      </c>
      <c r="J8" s="158" t="s">
        <v>15</v>
      </c>
      <c r="K8" s="217"/>
      <c r="L8" s="198" t="s">
        <v>9</v>
      </c>
      <c r="M8" s="204" t="s">
        <v>13</v>
      </c>
      <c r="N8" s="206" t="s">
        <v>14</v>
      </c>
      <c r="O8" s="158" t="s">
        <v>121</v>
      </c>
      <c r="P8" s="208"/>
      <c r="Q8" s="211" t="s">
        <v>118</v>
      </c>
      <c r="R8" s="214" t="s">
        <v>117</v>
      </c>
      <c r="S8" s="193" t="s">
        <v>23</v>
      </c>
      <c r="T8" s="158" t="s">
        <v>24</v>
      </c>
      <c r="U8" s="198" t="s">
        <v>25</v>
      </c>
      <c r="V8" s="158" t="s">
        <v>22</v>
      </c>
      <c r="W8" s="217"/>
      <c r="X8" s="220" t="s">
        <v>26</v>
      </c>
      <c r="Y8" s="158" t="s">
        <v>0</v>
      </c>
      <c r="Z8" s="158" t="s">
        <v>2</v>
      </c>
      <c r="AA8" s="158" t="s">
        <v>122</v>
      </c>
      <c r="AB8" s="159"/>
      <c r="AC8" s="160"/>
      <c r="AD8" s="176" t="s">
        <v>4</v>
      </c>
      <c r="AE8" s="19">
        <v>1</v>
      </c>
      <c r="AF8" s="19" t="s">
        <v>66</v>
      </c>
      <c r="AH8" s="29"/>
    </row>
    <row r="9" spans="1:42" ht="13.5" customHeight="1" x14ac:dyDescent="0.25">
      <c r="A9" s="238"/>
      <c r="B9" s="196"/>
      <c r="C9" s="218"/>
      <c r="D9" s="196"/>
      <c r="E9" s="218"/>
      <c r="F9" s="196"/>
      <c r="G9" s="218"/>
      <c r="H9" s="209"/>
      <c r="I9" s="196"/>
      <c r="J9" s="196"/>
      <c r="K9" s="218"/>
      <c r="L9" s="199"/>
      <c r="M9" s="205"/>
      <c r="N9" s="207"/>
      <c r="O9" s="196"/>
      <c r="P9" s="209"/>
      <c r="Q9" s="212"/>
      <c r="R9" s="215"/>
      <c r="S9" s="194"/>
      <c r="T9" s="196"/>
      <c r="U9" s="199"/>
      <c r="V9" s="196"/>
      <c r="W9" s="218"/>
      <c r="X9" s="221"/>
      <c r="Y9" s="196"/>
      <c r="Z9" s="196"/>
      <c r="AA9" s="161"/>
      <c r="AB9" s="162"/>
      <c r="AC9" s="163"/>
      <c r="AD9" s="177"/>
      <c r="AF9" s="19" t="s">
        <v>67</v>
      </c>
      <c r="AG9" s="29"/>
      <c r="AH9" s="29"/>
      <c r="AI9" s="29"/>
      <c r="AJ9" s="29"/>
    </row>
    <row r="10" spans="1:42" ht="13.5" customHeight="1" x14ac:dyDescent="0.25">
      <c r="A10" s="238"/>
      <c r="B10" s="196"/>
      <c r="C10" s="218"/>
      <c r="D10" s="196"/>
      <c r="E10" s="218"/>
      <c r="F10" s="196"/>
      <c r="G10" s="218"/>
      <c r="H10" s="209"/>
      <c r="I10" s="196"/>
      <c r="J10" s="196"/>
      <c r="K10" s="218"/>
      <c r="L10" s="199"/>
      <c r="M10" s="205"/>
      <c r="N10" s="207"/>
      <c r="O10" s="196"/>
      <c r="P10" s="209"/>
      <c r="Q10" s="212"/>
      <c r="R10" s="215"/>
      <c r="S10" s="194"/>
      <c r="T10" s="196"/>
      <c r="U10" s="199"/>
      <c r="V10" s="196"/>
      <c r="W10" s="218"/>
      <c r="X10" s="221"/>
      <c r="Y10" s="196"/>
      <c r="Z10" s="196"/>
      <c r="AA10" s="161"/>
      <c r="AB10" s="162"/>
      <c r="AC10" s="163"/>
      <c r="AD10" s="177"/>
      <c r="AJ10" s="29"/>
    </row>
    <row r="11" spans="1:42" ht="13.5" customHeight="1" x14ac:dyDescent="0.25">
      <c r="A11" s="238"/>
      <c r="B11" s="196"/>
      <c r="C11" s="218"/>
      <c r="D11" s="196"/>
      <c r="E11" s="218"/>
      <c r="F11" s="196"/>
      <c r="G11" s="218"/>
      <c r="H11" s="209"/>
      <c r="I11" s="196"/>
      <c r="J11" s="196"/>
      <c r="K11" s="218"/>
      <c r="L11" s="199"/>
      <c r="M11" s="205"/>
      <c r="N11" s="207"/>
      <c r="O11" s="196"/>
      <c r="P11" s="209"/>
      <c r="Q11" s="212"/>
      <c r="R11" s="215"/>
      <c r="S11" s="194"/>
      <c r="T11" s="196"/>
      <c r="U11" s="199"/>
      <c r="V11" s="196"/>
      <c r="W11" s="218"/>
      <c r="X11" s="221"/>
      <c r="Y11" s="196"/>
      <c r="Z11" s="196"/>
      <c r="AA11" s="161"/>
      <c r="AB11" s="162"/>
      <c r="AC11" s="163"/>
      <c r="AD11" s="177"/>
      <c r="AH11" s="29"/>
      <c r="AI11" s="29"/>
      <c r="AJ11" s="29"/>
    </row>
    <row r="12" spans="1:42" ht="13.5" customHeight="1" x14ac:dyDescent="0.25">
      <c r="A12" s="238"/>
      <c r="B12" s="197"/>
      <c r="C12" s="219"/>
      <c r="D12" s="197"/>
      <c r="E12" s="219"/>
      <c r="F12" s="197"/>
      <c r="G12" s="219"/>
      <c r="H12" s="210"/>
      <c r="I12" s="197"/>
      <c r="J12" s="197"/>
      <c r="K12" s="219"/>
      <c r="L12" s="200"/>
      <c r="M12" s="179" t="str">
        <f>+CONCATENATE(G16*100,"% x")</f>
        <v>93,5% x</v>
      </c>
      <c r="N12" s="181" t="str">
        <f>+CONCATENATE(ROUND(K16*100,1),"% x")</f>
        <v>6,5% x</v>
      </c>
      <c r="O12" s="197"/>
      <c r="P12" s="210"/>
      <c r="Q12" s="212"/>
      <c r="R12" s="215"/>
      <c r="S12" s="194"/>
      <c r="T12" s="197"/>
      <c r="U12" s="200"/>
      <c r="V12" s="196"/>
      <c r="W12" s="218"/>
      <c r="X12" s="221"/>
      <c r="Y12" s="197"/>
      <c r="Z12" s="197"/>
      <c r="AA12" s="161"/>
      <c r="AB12" s="162"/>
      <c r="AC12" s="163"/>
      <c r="AD12" s="178"/>
      <c r="AF12" s="30"/>
      <c r="AH12" s="29"/>
      <c r="AI12" s="29"/>
      <c r="AJ12" s="29"/>
    </row>
    <row r="13" spans="1:42" ht="13.5" customHeight="1" x14ac:dyDescent="0.25">
      <c r="A13" s="238"/>
      <c r="B13" s="1" t="s">
        <v>11</v>
      </c>
      <c r="C13" s="31">
        <f>+F2</f>
        <v>2.7E-2</v>
      </c>
      <c r="D13" s="1" t="s">
        <v>12</v>
      </c>
      <c r="E13" s="31">
        <v>0.13</v>
      </c>
      <c r="F13" s="1" t="s">
        <v>8</v>
      </c>
      <c r="G13" s="32">
        <f>+VLOOKUP(AE1,AG1:AJ4,2)</f>
        <v>0.1</v>
      </c>
      <c r="H13" s="32" t="s">
        <v>45</v>
      </c>
      <c r="I13" s="172"/>
      <c r="J13" s="184"/>
      <c r="K13" s="185"/>
      <c r="L13" s="188"/>
      <c r="M13" s="179"/>
      <c r="N13" s="181"/>
      <c r="O13" s="191" t="s">
        <v>18</v>
      </c>
      <c r="P13" s="192"/>
      <c r="Q13" s="212"/>
      <c r="R13" s="215"/>
      <c r="S13" s="194"/>
      <c r="T13" s="172"/>
      <c r="U13" s="172"/>
      <c r="V13" s="197"/>
      <c r="W13" s="219"/>
      <c r="X13" s="222"/>
      <c r="Y13" s="172"/>
      <c r="Z13" s="168"/>
      <c r="AA13" s="114"/>
      <c r="AB13" s="116"/>
      <c r="AC13" s="117"/>
      <c r="AD13" s="146"/>
      <c r="AH13" s="29"/>
      <c r="AI13" s="29"/>
      <c r="AJ13" s="29"/>
      <c r="AK13" s="29"/>
    </row>
    <row r="14" spans="1:42" ht="13.5" customHeight="1" x14ac:dyDescent="0.25">
      <c r="A14" s="238"/>
      <c r="B14" s="164" t="s">
        <v>64</v>
      </c>
      <c r="C14" s="165"/>
      <c r="D14" s="164" t="s">
        <v>61</v>
      </c>
      <c r="E14" s="165"/>
      <c r="F14" s="1" t="s">
        <v>10</v>
      </c>
      <c r="G14" s="32">
        <f>+VLOOKUP(AE1,AG1:AJ4,3)</f>
        <v>0.04</v>
      </c>
      <c r="H14" s="32" t="s">
        <v>45</v>
      </c>
      <c r="I14" s="183"/>
      <c r="J14" s="186"/>
      <c r="K14" s="187"/>
      <c r="L14" s="189"/>
      <c r="M14" s="180"/>
      <c r="N14" s="182"/>
      <c r="O14" s="1" t="str">
        <f>+CONCATENATE(G16*100,"% x")</f>
        <v>93,5% x</v>
      </c>
      <c r="P14" s="2" t="s">
        <v>19</v>
      </c>
      <c r="Q14" s="213"/>
      <c r="R14" s="216"/>
      <c r="S14" s="195"/>
      <c r="T14" s="183"/>
      <c r="U14" s="183"/>
      <c r="V14" s="33" t="s">
        <v>5</v>
      </c>
      <c r="W14" s="32">
        <f>+IF(AND(ISNUMBER(L3),L3&gt;0),L3,"n.v.t.")</f>
        <v>5</v>
      </c>
      <c r="X14" s="8" t="str">
        <f>+IF(W14="n.v.t.","","stuks/m²")</f>
        <v>stuks/m²</v>
      </c>
      <c r="Y14" s="183"/>
      <c r="Z14" s="191"/>
      <c r="AA14" s="113"/>
      <c r="AB14" s="118"/>
      <c r="AC14" s="119"/>
      <c r="AD14" s="147"/>
    </row>
    <row r="15" spans="1:42" ht="13.5" customHeight="1" x14ac:dyDescent="0.25">
      <c r="A15" s="238"/>
      <c r="B15" s="164"/>
      <c r="C15" s="165"/>
      <c r="D15" s="164"/>
      <c r="E15" s="165"/>
      <c r="F15" s="34"/>
      <c r="G15" s="32"/>
      <c r="H15" s="32"/>
      <c r="I15" s="183"/>
      <c r="J15" s="186"/>
      <c r="K15" s="187"/>
      <c r="L15" s="189"/>
      <c r="M15" s="168"/>
      <c r="N15" s="169"/>
      <c r="O15" s="1" t="str">
        <f>+CONCATENATE(ROUND(K16*100,1),"% x")</f>
        <v>6,5% x</v>
      </c>
      <c r="P15" s="2" t="s">
        <v>20</v>
      </c>
      <c r="Q15" s="172"/>
      <c r="R15" s="172"/>
      <c r="S15" s="172"/>
      <c r="T15" s="183"/>
      <c r="U15" s="183"/>
      <c r="V15" s="5" t="s">
        <v>6</v>
      </c>
      <c r="W15" s="6">
        <f>+VLOOKUP(AE5,AG5:AI7,2)</f>
        <v>50</v>
      </c>
      <c r="X15" s="8" t="str">
        <f>+VLOOKUP(AE5,AG5:AI7,3)</f>
        <v>tabel H.1</v>
      </c>
      <c r="Y15" s="183"/>
      <c r="Z15" s="191"/>
      <c r="AA15" s="113"/>
      <c r="AB15" s="118"/>
      <c r="AC15" s="119"/>
      <c r="AD15" s="147"/>
      <c r="AF15" s="24" t="s">
        <v>60</v>
      </c>
      <c r="AL15" s="53"/>
      <c r="AM15" s="56"/>
    </row>
    <row r="16" spans="1:42" ht="13.5" customHeight="1" thickBot="1" x14ac:dyDescent="0.3">
      <c r="A16" s="239"/>
      <c r="B16" s="166"/>
      <c r="C16" s="167"/>
      <c r="D16" s="166"/>
      <c r="E16" s="167"/>
      <c r="F16" s="3" t="s">
        <v>17</v>
      </c>
      <c r="G16" s="174">
        <f>1-K16</f>
        <v>0.93500000000000005</v>
      </c>
      <c r="H16" s="175"/>
      <c r="I16" s="173"/>
      <c r="J16" s="16" t="s">
        <v>16</v>
      </c>
      <c r="K16" s="35">
        <f>+IF(AE8=1,L5,0)</f>
        <v>6.5000000000000002E-2</v>
      </c>
      <c r="L16" s="190"/>
      <c r="M16" s="170"/>
      <c r="N16" s="171"/>
      <c r="O16" s="44"/>
      <c r="P16" s="4"/>
      <c r="Q16" s="173"/>
      <c r="R16" s="173"/>
      <c r="S16" s="173"/>
      <c r="T16" s="173"/>
      <c r="U16" s="173"/>
      <c r="V16" s="7" t="s">
        <v>7</v>
      </c>
      <c r="W16" s="36">
        <f>+IF(AND(ISNUMBER(L4),L4&gt;0),L4,"n.v.t.")</f>
        <v>5</v>
      </c>
      <c r="X16" s="15" t="str">
        <f>+IF(W16="n.v.t.","","mm")</f>
        <v>mm</v>
      </c>
      <c r="Y16" s="173"/>
      <c r="Z16" s="170"/>
      <c r="AA16" s="120" t="s">
        <v>120</v>
      </c>
      <c r="AB16" s="121">
        <f>+VLOOKUP(AE1,AG1:AJ4,4)</f>
        <v>0.22</v>
      </c>
      <c r="AC16" s="122" t="s">
        <v>65</v>
      </c>
      <c r="AD16" s="148"/>
      <c r="AL16" s="54" t="s">
        <v>83</v>
      </c>
      <c r="AM16" s="92" t="s">
        <v>125</v>
      </c>
    </row>
    <row r="17" spans="1:39" ht="13.5" customHeight="1" x14ac:dyDescent="0.25">
      <c r="A17" s="23">
        <v>40</v>
      </c>
      <c r="B17" s="144">
        <f>+$A17*0.001/C$13</f>
        <v>1.4814814814814816</v>
      </c>
      <c r="C17" s="145"/>
      <c r="D17" s="144">
        <f>+$A17*0.001/E$13</f>
        <v>0.30769230769230771</v>
      </c>
      <c r="E17" s="145"/>
      <c r="F17" s="144">
        <f t="shared" ref="F17:F35" si="0">(B17+$G$13+$G$14)</f>
        <v>1.6214814814814817</v>
      </c>
      <c r="G17" s="145"/>
      <c r="H17" s="46"/>
      <c r="I17" s="38">
        <f>1/F17</f>
        <v>0.61671996345363167</v>
      </c>
      <c r="J17" s="144">
        <f t="shared" ref="J17:J35" si="1">(D17+$G$13+$G$14)</f>
        <v>0.44769230769230767</v>
      </c>
      <c r="K17" s="145"/>
      <c r="L17" s="38">
        <f>1/J17</f>
        <v>2.2336769759450172</v>
      </c>
      <c r="M17" s="144">
        <f>1/($G$16*I17+$K$16*L17)</f>
        <v>1.3853827751196173</v>
      </c>
      <c r="N17" s="145"/>
      <c r="O17" s="144">
        <f t="shared" ref="O17:O35" si="2">+A17*0.001/($G$16*$C$13+$K$16*$E$13)+$G$13+$G$14</f>
        <v>1.3271197507048524</v>
      </c>
      <c r="P17" s="145"/>
      <c r="Q17" s="45">
        <f t="shared" ref="Q17:Q35" si="3">+IF(M17/(O17)&lt;1.05,0,1)</f>
        <v>0</v>
      </c>
      <c r="R17" s="38">
        <f t="shared" ref="R17:R35" si="4">+((Q17*M17+O17)/(1+1.05*Q17))</f>
        <v>1.3271197507048524</v>
      </c>
      <c r="S17" s="38">
        <f>1/R17</f>
        <v>0.75351150449602278</v>
      </c>
      <c r="T17" s="38">
        <v>0</v>
      </c>
      <c r="U17" s="38">
        <v>0</v>
      </c>
      <c r="V17" s="144">
        <f>+IF(ISNUMBER($W$15),POWER(B17/R17,2)*((0.8*A17/A17)*($L$3*$W$15*PI()*POWER(($L$4/2)*0.001,2))/(A17*0.001)),0)</f>
        <v>0.1223410274800258</v>
      </c>
      <c r="W17" s="145"/>
      <c r="X17" s="46"/>
      <c r="Y17" s="38">
        <f>T17+U17+V17</f>
        <v>0.1223410274800258</v>
      </c>
      <c r="Z17" s="38">
        <f t="shared" ref="Z17:Z35" si="5">S17/1+Y17</f>
        <v>0.87585253197604862</v>
      </c>
      <c r="AA17" s="38"/>
      <c r="AB17" s="115">
        <f t="shared" ref="AB17:AB35" si="6">1/Z17-$G$13-$G$14+$AB$16</f>
        <v>1.2217447155674219</v>
      </c>
      <c r="AC17" s="115"/>
      <c r="AD17" s="39">
        <f t="shared" ref="AD17:AD35" si="7">ROUND(AB17,1)</f>
        <v>1.2</v>
      </c>
      <c r="AE17" s="37"/>
      <c r="AL17" s="85"/>
      <c r="AM17" s="52"/>
    </row>
    <row r="18" spans="1:39" ht="13.5" customHeight="1" x14ac:dyDescent="0.25">
      <c r="A18" s="23">
        <f t="shared" ref="A18:A23" si="8">+A17+10</f>
        <v>50</v>
      </c>
      <c r="B18" s="144">
        <f t="shared" ref="B18:B35" si="9">+$A18*0.001/C$13</f>
        <v>1.8518518518518521</v>
      </c>
      <c r="C18" s="145"/>
      <c r="D18" s="144">
        <f>+$A18*0.001/E$13</f>
        <v>0.38461538461538464</v>
      </c>
      <c r="E18" s="145"/>
      <c r="F18" s="144">
        <f t="shared" si="0"/>
        <v>1.9918518518518522</v>
      </c>
      <c r="G18" s="145"/>
      <c r="H18" s="46"/>
      <c r="I18" s="38">
        <f>1/F18</f>
        <v>0.50204537002603189</v>
      </c>
      <c r="J18" s="144">
        <f t="shared" si="1"/>
        <v>0.52461538461538471</v>
      </c>
      <c r="K18" s="145"/>
      <c r="L18" s="38">
        <f>1/J18</f>
        <v>1.9061583577712606</v>
      </c>
      <c r="M18" s="144">
        <f t="shared" ref="M18:M35" si="10">1/($G$16*I18+$K$16*L18)</f>
        <v>1.6854518300668615</v>
      </c>
      <c r="N18" s="145"/>
      <c r="O18" s="144">
        <f t="shared" si="2"/>
        <v>1.6238996883810655</v>
      </c>
      <c r="P18" s="145"/>
      <c r="Q18" s="45">
        <f t="shared" si="3"/>
        <v>0</v>
      </c>
      <c r="R18" s="38">
        <f t="shared" si="4"/>
        <v>1.6238996883810655</v>
      </c>
      <c r="S18" s="38">
        <f t="shared" ref="S18:S35" si="11">1/R18</f>
        <v>0.61580158377697725</v>
      </c>
      <c r="T18" s="38">
        <v>0</v>
      </c>
      <c r="U18" s="38">
        <v>0</v>
      </c>
      <c r="V18" s="144">
        <f t="shared" ref="V18:V35" si="12">+IF(ISNUMBER($W$15),POWER(B18/R18,2)*((0.8*A18/A18)*($L$3*$W$15*PI()*POWER(($L$4/2)*0.001,2))/(A18*0.001)),0)</f>
        <v>0.10213720397198608</v>
      </c>
      <c r="W18" s="145"/>
      <c r="X18" s="46"/>
      <c r="Y18" s="38">
        <f t="shared" ref="Y18:Y35" si="13">T18+U18+V18</f>
        <v>0.10213720397198608</v>
      </c>
      <c r="Z18" s="38">
        <f t="shared" si="5"/>
        <v>0.71793878774896336</v>
      </c>
      <c r="AA18" s="38"/>
      <c r="AB18" s="115">
        <f t="shared" si="6"/>
        <v>1.4728764082177754</v>
      </c>
      <c r="AC18" s="115"/>
      <c r="AD18" s="39">
        <f t="shared" si="7"/>
        <v>1.5</v>
      </c>
      <c r="AL18" s="85"/>
      <c r="AM18" s="52"/>
    </row>
    <row r="19" spans="1:39" ht="13.5" customHeight="1" x14ac:dyDescent="0.25">
      <c r="A19" s="23">
        <f t="shared" si="8"/>
        <v>60</v>
      </c>
      <c r="B19" s="144">
        <f t="shared" si="9"/>
        <v>2.2222222222222223</v>
      </c>
      <c r="C19" s="145"/>
      <c r="D19" s="144">
        <f t="shared" ref="D19:D35" si="14">+$A19*0.001/E$13</f>
        <v>0.46153846153846151</v>
      </c>
      <c r="E19" s="145"/>
      <c r="F19" s="144">
        <f t="shared" si="0"/>
        <v>2.3622222222222224</v>
      </c>
      <c r="G19" s="145"/>
      <c r="H19" s="46"/>
      <c r="I19" s="38">
        <f t="shared" ref="I19:I35" si="15">1/F19</f>
        <v>0.42333019755409212</v>
      </c>
      <c r="J19" s="144">
        <f t="shared" si="1"/>
        <v>0.60153846153846158</v>
      </c>
      <c r="K19" s="145"/>
      <c r="L19" s="38">
        <f t="shared" ref="L19:L35" si="16">1/J19</f>
        <v>1.6624040920716112</v>
      </c>
      <c r="M19" s="144">
        <f t="shared" si="10"/>
        <v>1.9846388922048466</v>
      </c>
      <c r="N19" s="145"/>
      <c r="O19" s="144">
        <f t="shared" si="2"/>
        <v>1.9206796260572785</v>
      </c>
      <c r="P19" s="145"/>
      <c r="Q19" s="45">
        <f t="shared" si="3"/>
        <v>0</v>
      </c>
      <c r="R19" s="38">
        <f t="shared" si="4"/>
        <v>1.9206796260572785</v>
      </c>
      <c r="S19" s="38">
        <f t="shared" si="11"/>
        <v>0.52064903820153186</v>
      </c>
      <c r="T19" s="38">
        <v>0</v>
      </c>
      <c r="U19" s="38">
        <v>0</v>
      </c>
      <c r="V19" s="144">
        <f t="shared" si="12"/>
        <v>8.761404846914557E-2</v>
      </c>
      <c r="W19" s="145"/>
      <c r="X19" s="46"/>
      <c r="Y19" s="38">
        <f t="shared" si="13"/>
        <v>8.761404846914557E-2</v>
      </c>
      <c r="Z19" s="38">
        <f t="shared" si="5"/>
        <v>0.60826308667067741</v>
      </c>
      <c r="AA19" s="38"/>
      <c r="AB19" s="115">
        <f t="shared" si="6"/>
        <v>1.724025458578279</v>
      </c>
      <c r="AC19" s="115"/>
      <c r="AD19" s="39">
        <f t="shared" si="7"/>
        <v>1.7</v>
      </c>
      <c r="AL19" s="85"/>
      <c r="AM19" s="52"/>
    </row>
    <row r="20" spans="1:39" ht="13.5" customHeight="1" x14ac:dyDescent="0.25">
      <c r="A20" s="23">
        <f t="shared" si="8"/>
        <v>70</v>
      </c>
      <c r="B20" s="144">
        <f t="shared" si="9"/>
        <v>2.592592592592593</v>
      </c>
      <c r="C20" s="145"/>
      <c r="D20" s="144">
        <f t="shared" si="14"/>
        <v>0.53846153846153855</v>
      </c>
      <c r="E20" s="145"/>
      <c r="F20" s="144">
        <f t="shared" si="0"/>
        <v>2.7325925925925931</v>
      </c>
      <c r="G20" s="145"/>
      <c r="H20" s="46"/>
      <c r="I20" s="38">
        <f t="shared" si="15"/>
        <v>0.36595283274600154</v>
      </c>
      <c r="J20" s="144">
        <f t="shared" si="1"/>
        <v>0.67846153846153856</v>
      </c>
      <c r="K20" s="145"/>
      <c r="L20" s="38">
        <f t="shared" si="16"/>
        <v>1.4739229024943308</v>
      </c>
      <c r="M20" s="144">
        <f t="shared" si="10"/>
        <v>2.2832567849686853</v>
      </c>
      <c r="N20" s="145"/>
      <c r="O20" s="144">
        <f t="shared" si="2"/>
        <v>2.2174595637334917</v>
      </c>
      <c r="P20" s="145"/>
      <c r="Q20" s="45">
        <f t="shared" si="3"/>
        <v>0</v>
      </c>
      <c r="R20" s="38">
        <f t="shared" si="4"/>
        <v>2.2174595637334917</v>
      </c>
      <c r="S20" s="38">
        <f t="shared" si="11"/>
        <v>0.4509665097641376</v>
      </c>
      <c r="T20" s="38">
        <v>0</v>
      </c>
      <c r="U20" s="38">
        <v>0</v>
      </c>
      <c r="V20" s="144">
        <f t="shared" si="12"/>
        <v>7.6686511027777807E-2</v>
      </c>
      <c r="W20" s="145"/>
      <c r="X20" s="46"/>
      <c r="Y20" s="38">
        <f t="shared" si="13"/>
        <v>7.6686511027777807E-2</v>
      </c>
      <c r="Z20" s="38">
        <f t="shared" si="5"/>
        <v>0.52765302079191545</v>
      </c>
      <c r="AA20" s="38"/>
      <c r="AB20" s="115">
        <f t="shared" si="6"/>
        <v>1.9751848290362741</v>
      </c>
      <c r="AC20" s="115"/>
      <c r="AD20" s="39">
        <f t="shared" si="7"/>
        <v>2</v>
      </c>
      <c r="AL20" s="85"/>
      <c r="AM20" s="52"/>
    </row>
    <row r="21" spans="1:39" ht="13.5" customHeight="1" x14ac:dyDescent="0.25">
      <c r="A21" s="23">
        <f t="shared" si="8"/>
        <v>80</v>
      </c>
      <c r="B21" s="144">
        <f t="shared" si="9"/>
        <v>2.9629629629629632</v>
      </c>
      <c r="C21" s="145"/>
      <c r="D21" s="144">
        <f t="shared" si="14"/>
        <v>0.61538461538461542</v>
      </c>
      <c r="E21" s="145"/>
      <c r="F21" s="144">
        <f t="shared" si="0"/>
        <v>3.1029629629629634</v>
      </c>
      <c r="G21" s="145"/>
      <c r="H21" s="46"/>
      <c r="I21" s="38">
        <f t="shared" si="15"/>
        <v>0.322272618763428</v>
      </c>
      <c r="J21" s="144">
        <f t="shared" si="1"/>
        <v>0.75538461538461543</v>
      </c>
      <c r="K21" s="145"/>
      <c r="L21" s="38">
        <f t="shared" si="16"/>
        <v>1.3238289205702647</v>
      </c>
      <c r="M21" s="144">
        <f t="shared" si="10"/>
        <v>2.581486037025416</v>
      </c>
      <c r="N21" s="145"/>
      <c r="O21" s="144">
        <f t="shared" si="2"/>
        <v>2.5142395014097048</v>
      </c>
      <c r="P21" s="145"/>
      <c r="Q21" s="45">
        <f t="shared" si="3"/>
        <v>0</v>
      </c>
      <c r="R21" s="38">
        <f t="shared" si="4"/>
        <v>2.5142395014097048</v>
      </c>
      <c r="S21" s="38">
        <f t="shared" si="11"/>
        <v>0.39773458313709242</v>
      </c>
      <c r="T21" s="38">
        <v>0</v>
      </c>
      <c r="U21" s="38">
        <v>0</v>
      </c>
      <c r="V21" s="144">
        <f t="shared" si="12"/>
        <v>6.81724738004897E-2</v>
      </c>
      <c r="W21" s="145"/>
      <c r="X21" s="46"/>
      <c r="Y21" s="38">
        <f t="shared" si="13"/>
        <v>6.81724738004897E-2</v>
      </c>
      <c r="Z21" s="38">
        <f t="shared" si="5"/>
        <v>0.46590705693758211</v>
      </c>
      <c r="AA21" s="38"/>
      <c r="AB21" s="115">
        <f t="shared" si="6"/>
        <v>2.2263508335182198</v>
      </c>
      <c r="AC21" s="115"/>
      <c r="AD21" s="39">
        <f t="shared" si="7"/>
        <v>2.2000000000000002</v>
      </c>
      <c r="AF21" s="40"/>
      <c r="AL21" s="85"/>
      <c r="AM21" s="52"/>
    </row>
    <row r="22" spans="1:39" ht="13.5" customHeight="1" x14ac:dyDescent="0.25">
      <c r="A22" s="23">
        <f t="shared" si="8"/>
        <v>90</v>
      </c>
      <c r="B22" s="144">
        <f t="shared" si="9"/>
        <v>3.333333333333333</v>
      </c>
      <c r="C22" s="145"/>
      <c r="D22" s="144">
        <f t="shared" si="14"/>
        <v>0.69230769230769229</v>
      </c>
      <c r="E22" s="145"/>
      <c r="F22" s="144">
        <f t="shared" si="0"/>
        <v>3.4733333333333332</v>
      </c>
      <c r="G22" s="145"/>
      <c r="H22" s="46"/>
      <c r="I22" s="38">
        <f t="shared" si="15"/>
        <v>0.28790786948176583</v>
      </c>
      <c r="J22" s="144">
        <f t="shared" si="1"/>
        <v>0.8323076923076923</v>
      </c>
      <c r="K22" s="145"/>
      <c r="L22" s="38">
        <f t="shared" si="16"/>
        <v>1.201478743068392</v>
      </c>
      <c r="M22" s="144">
        <f t="shared" si="10"/>
        <v>2.8794381305069594</v>
      </c>
      <c r="N22" s="145"/>
      <c r="O22" s="144">
        <f t="shared" si="2"/>
        <v>2.8110194390859178</v>
      </c>
      <c r="P22" s="145"/>
      <c r="Q22" s="45">
        <f t="shared" si="3"/>
        <v>0</v>
      </c>
      <c r="R22" s="38">
        <f t="shared" si="4"/>
        <v>2.8110194390859178</v>
      </c>
      <c r="S22" s="38">
        <f t="shared" si="11"/>
        <v>0.35574282628411069</v>
      </c>
      <c r="T22" s="38">
        <v>0</v>
      </c>
      <c r="U22" s="38">
        <v>0</v>
      </c>
      <c r="V22" s="144">
        <f t="shared" si="12"/>
        <v>6.1354605642710544E-2</v>
      </c>
      <c r="W22" s="145"/>
      <c r="X22" s="46"/>
      <c r="Y22" s="38">
        <f t="shared" si="13"/>
        <v>6.1354605642710544E-2</v>
      </c>
      <c r="Z22" s="38">
        <f t="shared" si="5"/>
        <v>0.41709743192682125</v>
      </c>
      <c r="AA22" s="38"/>
      <c r="AB22" s="115">
        <f t="shared" si="6"/>
        <v>2.4775213546158867</v>
      </c>
      <c r="AC22" s="115"/>
      <c r="AD22" s="39">
        <f t="shared" si="7"/>
        <v>2.5</v>
      </c>
      <c r="AL22" s="85"/>
      <c r="AM22" s="52"/>
    </row>
    <row r="23" spans="1:39" ht="13.5" customHeight="1" x14ac:dyDescent="0.25">
      <c r="A23" s="23">
        <f t="shared" si="8"/>
        <v>100</v>
      </c>
      <c r="B23" s="144">
        <f t="shared" si="9"/>
        <v>3.7037037037037042</v>
      </c>
      <c r="C23" s="145"/>
      <c r="D23" s="144">
        <f t="shared" si="14"/>
        <v>0.76923076923076927</v>
      </c>
      <c r="E23" s="145"/>
      <c r="F23" s="144">
        <f t="shared" si="0"/>
        <v>3.8437037037037043</v>
      </c>
      <c r="G23" s="145"/>
      <c r="H23" s="46"/>
      <c r="I23" s="38">
        <f t="shared" si="15"/>
        <v>0.26016573520909614</v>
      </c>
      <c r="J23" s="144">
        <f t="shared" si="1"/>
        <v>0.90923076923076929</v>
      </c>
      <c r="K23" s="145"/>
      <c r="L23" s="38">
        <f t="shared" si="16"/>
        <v>1.0998307952622672</v>
      </c>
      <c r="M23" s="144">
        <f t="shared" si="10"/>
        <v>3.1771856302934549</v>
      </c>
      <c r="N23" s="145"/>
      <c r="O23" s="144">
        <f t="shared" si="2"/>
        <v>3.1077993767621308</v>
      </c>
      <c r="P23" s="145"/>
      <c r="Q23" s="45">
        <f t="shared" si="3"/>
        <v>0</v>
      </c>
      <c r="R23" s="38">
        <f t="shared" si="4"/>
        <v>3.1077993767621308</v>
      </c>
      <c r="S23" s="38">
        <f t="shared" si="11"/>
        <v>0.32177109226460193</v>
      </c>
      <c r="T23" s="38">
        <v>0</v>
      </c>
      <c r="U23" s="38">
        <v>0</v>
      </c>
      <c r="V23" s="144">
        <f t="shared" si="12"/>
        <v>5.5773308378013711E-2</v>
      </c>
      <c r="W23" s="145"/>
      <c r="X23" s="46"/>
      <c r="Y23" s="38">
        <f t="shared" si="13"/>
        <v>5.5773308378013711E-2</v>
      </c>
      <c r="Z23" s="38">
        <f t="shared" si="5"/>
        <v>0.37754440064261563</v>
      </c>
      <c r="AA23" s="38"/>
      <c r="AB23" s="115">
        <f t="shared" si="6"/>
        <v>2.7286950893667266</v>
      </c>
      <c r="AC23" s="115"/>
      <c r="AD23" s="39">
        <f t="shared" si="7"/>
        <v>2.7</v>
      </c>
      <c r="AL23" s="85"/>
      <c r="AM23" s="52"/>
    </row>
    <row r="24" spans="1:39" ht="13.5" customHeight="1" x14ac:dyDescent="0.25">
      <c r="A24" s="23">
        <f t="shared" ref="A24:A35" si="17">+A23+10</f>
        <v>110</v>
      </c>
      <c r="B24" s="144">
        <f t="shared" si="9"/>
        <v>4.0740740740740744</v>
      </c>
      <c r="C24" s="145"/>
      <c r="D24" s="144">
        <f t="shared" si="14"/>
        <v>0.84615384615384615</v>
      </c>
      <c r="E24" s="145"/>
      <c r="F24" s="144">
        <f t="shared" si="0"/>
        <v>4.2140740740740741</v>
      </c>
      <c r="G24" s="145"/>
      <c r="H24" s="46"/>
      <c r="I24" s="38">
        <f t="shared" si="15"/>
        <v>0.23730005273334506</v>
      </c>
      <c r="J24" s="144">
        <f t="shared" si="1"/>
        <v>0.98615384615384616</v>
      </c>
      <c r="K24" s="145"/>
      <c r="L24" s="38">
        <f t="shared" si="16"/>
        <v>1.0140405616224648</v>
      </c>
      <c r="M24" s="144">
        <f t="shared" si="10"/>
        <v>3.4747778029229246</v>
      </c>
      <c r="N24" s="145"/>
      <c r="O24" s="144">
        <f t="shared" si="2"/>
        <v>3.4045793144383438</v>
      </c>
      <c r="P24" s="145"/>
      <c r="Q24" s="45">
        <f t="shared" si="3"/>
        <v>0</v>
      </c>
      <c r="R24" s="38">
        <f t="shared" si="4"/>
        <v>3.4045793144383438</v>
      </c>
      <c r="S24" s="38">
        <f t="shared" si="11"/>
        <v>0.29372204541076197</v>
      </c>
      <c r="T24" s="38">
        <v>0</v>
      </c>
      <c r="U24" s="38">
        <v>0</v>
      </c>
      <c r="V24" s="144">
        <f t="shared" si="12"/>
        <v>5.1120857526666688E-2</v>
      </c>
      <c r="W24" s="145"/>
      <c r="X24" s="46"/>
      <c r="Y24" s="38">
        <f t="shared" si="13"/>
        <v>5.1120857526666688E-2</v>
      </c>
      <c r="Z24" s="38">
        <f t="shared" si="5"/>
        <v>0.34484290293742864</v>
      </c>
      <c r="AA24" s="38"/>
      <c r="AB24" s="115">
        <f t="shared" si="6"/>
        <v>2.979871192017685</v>
      </c>
      <c r="AC24" s="115"/>
      <c r="AD24" s="39">
        <f t="shared" si="7"/>
        <v>3</v>
      </c>
      <c r="AL24" s="85"/>
      <c r="AM24" s="52"/>
    </row>
    <row r="25" spans="1:39" ht="13.5" customHeight="1" x14ac:dyDescent="0.25">
      <c r="A25" s="23">
        <f t="shared" si="17"/>
        <v>120</v>
      </c>
      <c r="B25" s="144">
        <f t="shared" si="9"/>
        <v>4.4444444444444446</v>
      </c>
      <c r="C25" s="145"/>
      <c r="D25" s="144">
        <f t="shared" si="14"/>
        <v>0.92307692307692302</v>
      </c>
      <c r="E25" s="145"/>
      <c r="F25" s="144">
        <f t="shared" si="0"/>
        <v>4.5844444444444443</v>
      </c>
      <c r="G25" s="145"/>
      <c r="H25" s="46"/>
      <c r="I25" s="38">
        <f t="shared" si="15"/>
        <v>0.21812893843916628</v>
      </c>
      <c r="J25" s="144">
        <f t="shared" si="1"/>
        <v>1.063076923076923</v>
      </c>
      <c r="K25" s="145"/>
      <c r="L25" s="38">
        <f t="shared" si="16"/>
        <v>0.94066570188133147</v>
      </c>
      <c r="M25" s="144">
        <f t="shared" si="10"/>
        <v>3.7722492722942569</v>
      </c>
      <c r="N25" s="145"/>
      <c r="O25" s="144">
        <f t="shared" si="2"/>
        <v>3.7013592521145569</v>
      </c>
      <c r="P25" s="145"/>
      <c r="Q25" s="45">
        <f t="shared" si="3"/>
        <v>0</v>
      </c>
      <c r="R25" s="38">
        <f t="shared" si="4"/>
        <v>3.7013592521145569</v>
      </c>
      <c r="S25" s="38">
        <f t="shared" si="11"/>
        <v>0.27017101877606398</v>
      </c>
      <c r="T25" s="38">
        <v>0</v>
      </c>
      <c r="U25" s="38">
        <v>0</v>
      </c>
      <c r="V25" s="144">
        <f t="shared" si="12"/>
        <v>4.7183605524414793E-2</v>
      </c>
      <c r="W25" s="145"/>
      <c r="X25" s="46"/>
      <c r="Y25" s="38">
        <f t="shared" si="13"/>
        <v>4.7183605524414793E-2</v>
      </c>
      <c r="Z25" s="38">
        <f t="shared" si="5"/>
        <v>0.31735462430047878</v>
      </c>
      <c r="AA25" s="38"/>
      <c r="AB25" s="115">
        <f t="shared" si="6"/>
        <v>3.2310490896555413</v>
      </c>
      <c r="AC25" s="115"/>
      <c r="AD25" s="39">
        <f t="shared" si="7"/>
        <v>3.2</v>
      </c>
      <c r="AL25" s="85"/>
      <c r="AM25" s="52"/>
    </row>
    <row r="26" spans="1:39" ht="13.5" customHeight="1" x14ac:dyDescent="0.25">
      <c r="A26" s="23">
        <f t="shared" si="17"/>
        <v>130</v>
      </c>
      <c r="B26" s="144">
        <f t="shared" si="9"/>
        <v>4.8148148148148149</v>
      </c>
      <c r="C26" s="145"/>
      <c r="D26" s="144">
        <f t="shared" si="14"/>
        <v>1</v>
      </c>
      <c r="E26" s="145"/>
      <c r="F26" s="144">
        <f t="shared" si="0"/>
        <v>4.9548148148148146</v>
      </c>
      <c r="G26" s="145"/>
      <c r="H26" s="46"/>
      <c r="I26" s="38">
        <f t="shared" si="15"/>
        <v>0.20182388996860517</v>
      </c>
      <c r="J26" s="144">
        <f t="shared" si="1"/>
        <v>1.1400000000000001</v>
      </c>
      <c r="K26" s="145"/>
      <c r="L26" s="38">
        <f t="shared" si="16"/>
        <v>0.8771929824561403</v>
      </c>
      <c r="M26" s="144">
        <f t="shared" si="10"/>
        <v>4.0696250833889254</v>
      </c>
      <c r="N26" s="145"/>
      <c r="O26" s="144">
        <f t="shared" si="2"/>
        <v>3.9981391897907699</v>
      </c>
      <c r="P26" s="145"/>
      <c r="Q26" s="45">
        <f t="shared" si="3"/>
        <v>0</v>
      </c>
      <c r="R26" s="38">
        <f t="shared" si="4"/>
        <v>3.9981391897907699</v>
      </c>
      <c r="S26" s="38">
        <f t="shared" si="11"/>
        <v>0.25011635476661126</v>
      </c>
      <c r="T26" s="38">
        <v>0</v>
      </c>
      <c r="U26" s="38">
        <v>0</v>
      </c>
      <c r="V26" s="144">
        <f t="shared" si="12"/>
        <v>4.3808652079574267E-2</v>
      </c>
      <c r="W26" s="145"/>
      <c r="X26" s="46"/>
      <c r="Y26" s="38">
        <f t="shared" si="13"/>
        <v>4.3808652079574267E-2</v>
      </c>
      <c r="Z26" s="38">
        <f t="shared" si="5"/>
        <v>0.2939250068461855</v>
      </c>
      <c r="AA26" s="38"/>
      <c r="AB26" s="115">
        <f t="shared" si="6"/>
        <v>3.4822283803953846</v>
      </c>
      <c r="AC26" s="115"/>
      <c r="AD26" s="39">
        <f t="shared" si="7"/>
        <v>3.5</v>
      </c>
      <c r="AL26" s="85"/>
      <c r="AM26" s="52"/>
    </row>
    <row r="27" spans="1:39" ht="13.5" customHeight="1" x14ac:dyDescent="0.25">
      <c r="A27" s="23">
        <f t="shared" si="17"/>
        <v>140</v>
      </c>
      <c r="B27" s="144">
        <f t="shared" si="9"/>
        <v>5.185185185185186</v>
      </c>
      <c r="C27" s="145"/>
      <c r="D27" s="144">
        <f t="shared" si="14"/>
        <v>1.0769230769230771</v>
      </c>
      <c r="E27" s="145"/>
      <c r="F27" s="144">
        <f t="shared" si="0"/>
        <v>5.3251851851851857</v>
      </c>
      <c r="G27" s="145"/>
      <c r="H27" s="46"/>
      <c r="I27" s="38">
        <f t="shared" si="15"/>
        <v>0.18778689664765613</v>
      </c>
      <c r="J27" s="144">
        <f t="shared" si="1"/>
        <v>1.2169230769230772</v>
      </c>
      <c r="K27" s="145"/>
      <c r="L27" s="38">
        <f t="shared" si="16"/>
        <v>0.82174462705436135</v>
      </c>
      <c r="M27" s="144">
        <f t="shared" si="10"/>
        <v>4.3669238005644404</v>
      </c>
      <c r="N27" s="145"/>
      <c r="O27" s="144">
        <f t="shared" si="2"/>
        <v>4.2949191274669829</v>
      </c>
      <c r="P27" s="145"/>
      <c r="Q27" s="45">
        <f t="shared" si="3"/>
        <v>0</v>
      </c>
      <c r="R27" s="38">
        <f t="shared" si="4"/>
        <v>4.2949191274669829</v>
      </c>
      <c r="S27" s="38">
        <f t="shared" si="11"/>
        <v>0.23283325490456222</v>
      </c>
      <c r="T27" s="38">
        <v>0</v>
      </c>
      <c r="U27" s="38">
        <v>0</v>
      </c>
      <c r="V27" s="144">
        <f t="shared" si="12"/>
        <v>4.0883720627612412E-2</v>
      </c>
      <c r="W27" s="145"/>
      <c r="X27" s="46"/>
      <c r="Y27" s="38">
        <f t="shared" si="13"/>
        <v>4.0883720627612412E-2</v>
      </c>
      <c r="Z27" s="38">
        <f t="shared" si="5"/>
        <v>0.27371697553217461</v>
      </c>
      <c r="AA27" s="38"/>
      <c r="AB27" s="115">
        <f t="shared" si="6"/>
        <v>3.7334087739927297</v>
      </c>
      <c r="AC27" s="115"/>
      <c r="AD27" s="39">
        <f t="shared" si="7"/>
        <v>3.7</v>
      </c>
      <c r="AL27" s="85"/>
      <c r="AM27" s="52"/>
    </row>
    <row r="28" spans="1:39" ht="13.5" customHeight="1" x14ac:dyDescent="0.25">
      <c r="A28" s="23">
        <f t="shared" si="17"/>
        <v>150</v>
      </c>
      <c r="B28" s="144">
        <f t="shared" si="9"/>
        <v>5.5555555555555554</v>
      </c>
      <c r="C28" s="145"/>
      <c r="D28" s="144">
        <f t="shared" si="14"/>
        <v>1.1538461538461537</v>
      </c>
      <c r="E28" s="145"/>
      <c r="F28" s="144">
        <f t="shared" si="0"/>
        <v>5.695555555555555</v>
      </c>
      <c r="G28" s="145"/>
      <c r="H28" s="46"/>
      <c r="I28" s="38">
        <f t="shared" si="15"/>
        <v>0.17557549746390949</v>
      </c>
      <c r="J28" s="144">
        <f t="shared" si="1"/>
        <v>1.2938461538461539</v>
      </c>
      <c r="K28" s="145"/>
      <c r="L28" s="38">
        <f t="shared" si="16"/>
        <v>0.77288941736028538</v>
      </c>
      <c r="M28" s="144">
        <f t="shared" si="10"/>
        <v>4.6641594763463257</v>
      </c>
      <c r="N28" s="145"/>
      <c r="O28" s="144">
        <f t="shared" si="2"/>
        <v>4.591699065143195</v>
      </c>
      <c r="P28" s="145"/>
      <c r="Q28" s="45">
        <f t="shared" si="3"/>
        <v>0</v>
      </c>
      <c r="R28" s="38">
        <f t="shared" si="4"/>
        <v>4.591699065143195</v>
      </c>
      <c r="S28" s="38">
        <f t="shared" si="11"/>
        <v>0.21778430724941561</v>
      </c>
      <c r="T28" s="38">
        <v>0</v>
      </c>
      <c r="U28" s="38">
        <v>0</v>
      </c>
      <c r="V28" s="144">
        <f t="shared" si="12"/>
        <v>3.8324525114970219E-2</v>
      </c>
      <c r="W28" s="145"/>
      <c r="X28" s="46"/>
      <c r="Y28" s="38">
        <f t="shared" si="13"/>
        <v>3.8324525114970219E-2</v>
      </c>
      <c r="Z28" s="38">
        <f t="shared" si="5"/>
        <v>0.25610883236438581</v>
      </c>
      <c r="AA28" s="38"/>
      <c r="AB28" s="115">
        <f t="shared" si="6"/>
        <v>3.9845900555948917</v>
      </c>
      <c r="AC28" s="115"/>
      <c r="AD28" s="39">
        <f t="shared" si="7"/>
        <v>4</v>
      </c>
      <c r="AL28" s="85"/>
      <c r="AM28" s="52"/>
    </row>
    <row r="29" spans="1:39" ht="13.5" customHeight="1" x14ac:dyDescent="0.25">
      <c r="A29" s="23">
        <f>+A28+10</f>
        <v>160</v>
      </c>
      <c r="B29" s="144">
        <f t="shared" si="9"/>
        <v>5.9259259259259265</v>
      </c>
      <c r="C29" s="145"/>
      <c r="D29" s="144">
        <f t="shared" si="14"/>
        <v>1.2307692307692308</v>
      </c>
      <c r="E29" s="145"/>
      <c r="F29" s="144">
        <f t="shared" si="0"/>
        <v>6.0659259259259262</v>
      </c>
      <c r="G29" s="145"/>
      <c r="H29" s="46"/>
      <c r="I29" s="38">
        <f t="shared" si="15"/>
        <v>0.16485529368665283</v>
      </c>
      <c r="J29" s="144">
        <f t="shared" si="1"/>
        <v>1.370769230769231</v>
      </c>
      <c r="K29" s="145"/>
      <c r="L29" s="38">
        <f t="shared" si="16"/>
        <v>0.72951739618406275</v>
      </c>
      <c r="M29" s="144">
        <f t="shared" si="10"/>
        <v>4.9613429435963692</v>
      </c>
      <c r="N29" s="145"/>
      <c r="O29" s="144">
        <f t="shared" si="2"/>
        <v>4.8884790028194089</v>
      </c>
      <c r="P29" s="145"/>
      <c r="Q29" s="45">
        <f t="shared" si="3"/>
        <v>0</v>
      </c>
      <c r="R29" s="38">
        <f t="shared" si="4"/>
        <v>4.8884790028194089</v>
      </c>
      <c r="S29" s="38">
        <f t="shared" si="11"/>
        <v>0.20456260514226499</v>
      </c>
      <c r="T29" s="38">
        <v>0</v>
      </c>
      <c r="U29" s="38">
        <v>0</v>
      </c>
      <c r="V29" s="144">
        <f t="shared" si="12"/>
        <v>3.6066569148192229E-2</v>
      </c>
      <c r="W29" s="145"/>
      <c r="X29" s="46"/>
      <c r="Y29" s="38">
        <f t="shared" si="13"/>
        <v>3.6066569148192229E-2</v>
      </c>
      <c r="Z29" s="38">
        <f t="shared" si="5"/>
        <v>0.24062917429045722</v>
      </c>
      <c r="AA29" s="38"/>
      <c r="AB29" s="115">
        <f t="shared" si="6"/>
        <v>4.2357720627546431</v>
      </c>
      <c r="AC29" s="115"/>
      <c r="AD29" s="39">
        <f t="shared" si="7"/>
        <v>4.2</v>
      </c>
      <c r="AL29" s="85"/>
      <c r="AM29" s="52"/>
    </row>
    <row r="30" spans="1:39" ht="13.5" customHeight="1" x14ac:dyDescent="0.25">
      <c r="A30" s="23">
        <f t="shared" si="17"/>
        <v>170</v>
      </c>
      <c r="B30" s="144">
        <f t="shared" si="9"/>
        <v>6.2962962962962967</v>
      </c>
      <c r="C30" s="145"/>
      <c r="D30" s="144">
        <f t="shared" si="14"/>
        <v>1.3076923076923077</v>
      </c>
      <c r="E30" s="145"/>
      <c r="F30" s="144">
        <f t="shared" si="0"/>
        <v>6.4362962962962964</v>
      </c>
      <c r="G30" s="145"/>
      <c r="H30" s="46"/>
      <c r="I30" s="38">
        <f t="shared" si="15"/>
        <v>0.15536885717573945</v>
      </c>
      <c r="J30" s="144">
        <f t="shared" si="1"/>
        <v>1.4476923076923078</v>
      </c>
      <c r="K30" s="145"/>
      <c r="L30" s="38">
        <f t="shared" si="16"/>
        <v>0.69075451647183839</v>
      </c>
      <c r="M30" s="144">
        <f t="shared" si="10"/>
        <v>5.2584826876542508</v>
      </c>
      <c r="N30" s="145"/>
      <c r="O30" s="144">
        <f t="shared" si="2"/>
        <v>5.185258940495622</v>
      </c>
      <c r="P30" s="145"/>
      <c r="Q30" s="45">
        <f t="shared" si="3"/>
        <v>0</v>
      </c>
      <c r="R30" s="38">
        <f t="shared" si="4"/>
        <v>5.185258940495622</v>
      </c>
      <c r="S30" s="38">
        <f t="shared" si="11"/>
        <v>0.19285439965017775</v>
      </c>
      <c r="T30" s="38">
        <v>0</v>
      </c>
      <c r="U30" s="38">
        <v>0</v>
      </c>
      <c r="V30" s="144">
        <f t="shared" si="12"/>
        <v>3.4059665684631125E-2</v>
      </c>
      <c r="W30" s="145"/>
      <c r="X30" s="46"/>
      <c r="Y30" s="38">
        <f t="shared" si="13"/>
        <v>3.4059665684631125E-2</v>
      </c>
      <c r="Z30" s="38">
        <f t="shared" si="5"/>
        <v>0.22691406533480887</v>
      </c>
      <c r="AA30" s="38"/>
      <c r="AB30" s="115">
        <f t="shared" si="6"/>
        <v>4.4869546703705323</v>
      </c>
      <c r="AC30" s="115"/>
      <c r="AD30" s="39">
        <f t="shared" si="7"/>
        <v>4.5</v>
      </c>
      <c r="AL30" s="85"/>
      <c r="AM30" s="52"/>
    </row>
    <row r="31" spans="1:39" ht="13.5" customHeight="1" x14ac:dyDescent="0.25">
      <c r="A31" s="23">
        <f t="shared" si="17"/>
        <v>180</v>
      </c>
      <c r="B31" s="144">
        <f t="shared" si="9"/>
        <v>6.6666666666666661</v>
      </c>
      <c r="C31" s="145"/>
      <c r="D31" s="144">
        <f t="shared" si="14"/>
        <v>1.3846153846153846</v>
      </c>
      <c r="E31" s="145"/>
      <c r="F31" s="144">
        <f t="shared" si="0"/>
        <v>6.8066666666666658</v>
      </c>
      <c r="G31" s="145"/>
      <c r="H31" s="46"/>
      <c r="I31" s="38">
        <f t="shared" si="15"/>
        <v>0.14691478942213518</v>
      </c>
      <c r="J31" s="144">
        <f t="shared" si="1"/>
        <v>1.5246153846153847</v>
      </c>
      <c r="K31" s="145"/>
      <c r="L31" s="38">
        <f t="shared" si="16"/>
        <v>0.65590312815338037</v>
      </c>
      <c r="M31" s="144">
        <f t="shared" si="10"/>
        <v>5.5555854495538775</v>
      </c>
      <c r="N31" s="145"/>
      <c r="O31" s="144">
        <f t="shared" si="2"/>
        <v>5.482038878171835</v>
      </c>
      <c r="P31" s="145"/>
      <c r="Q31" s="45">
        <f t="shared" si="3"/>
        <v>0</v>
      </c>
      <c r="R31" s="38">
        <f t="shared" si="4"/>
        <v>5.482038878171835</v>
      </c>
      <c r="S31" s="38">
        <f t="shared" si="11"/>
        <v>0.18241388326919028</v>
      </c>
      <c r="T31" s="38">
        <v>0</v>
      </c>
      <c r="U31" s="38">
        <v>0</v>
      </c>
      <c r="V31" s="144">
        <f t="shared" si="12"/>
        <v>3.2264180608187677E-2</v>
      </c>
      <c r="W31" s="145"/>
      <c r="X31" s="46"/>
      <c r="Y31" s="38">
        <f t="shared" si="13"/>
        <v>3.2264180608187677E-2</v>
      </c>
      <c r="Z31" s="38">
        <f t="shared" si="5"/>
        <v>0.21467806387737795</v>
      </c>
      <c r="AA31" s="38"/>
      <c r="AB31" s="115">
        <f t="shared" si="6"/>
        <v>4.7381377805381666</v>
      </c>
      <c r="AC31" s="115"/>
      <c r="AD31" s="39">
        <f t="shared" si="7"/>
        <v>4.7</v>
      </c>
      <c r="AL31" s="85"/>
      <c r="AM31" s="52"/>
    </row>
    <row r="32" spans="1:39" ht="13.5" customHeight="1" x14ac:dyDescent="0.25">
      <c r="A32" s="23">
        <f t="shared" si="17"/>
        <v>190</v>
      </c>
      <c r="B32" s="144">
        <f t="shared" si="9"/>
        <v>7.0370370370370372</v>
      </c>
      <c r="C32" s="145"/>
      <c r="D32" s="144">
        <f t="shared" si="14"/>
        <v>1.4615384615384615</v>
      </c>
      <c r="E32" s="145"/>
      <c r="F32" s="144">
        <f t="shared" si="0"/>
        <v>7.1770370370370369</v>
      </c>
      <c r="G32" s="145"/>
      <c r="H32" s="46"/>
      <c r="I32" s="38">
        <f t="shared" si="15"/>
        <v>0.13933326452678296</v>
      </c>
      <c r="J32" s="144">
        <f t="shared" si="1"/>
        <v>1.6015384615384616</v>
      </c>
      <c r="K32" s="145"/>
      <c r="L32" s="38">
        <f t="shared" si="16"/>
        <v>0.62439961575408265</v>
      </c>
      <c r="M32" s="144">
        <f t="shared" si="10"/>
        <v>5.8526566523293848</v>
      </c>
      <c r="N32" s="145"/>
      <c r="O32" s="144">
        <f t="shared" si="2"/>
        <v>5.778818815848048</v>
      </c>
      <c r="P32" s="145"/>
      <c r="Q32" s="45">
        <f t="shared" si="3"/>
        <v>0</v>
      </c>
      <c r="R32" s="38">
        <f t="shared" si="4"/>
        <v>5.778818815848048</v>
      </c>
      <c r="S32" s="38">
        <f t="shared" si="11"/>
        <v>0.17304574375260956</v>
      </c>
      <c r="T32" s="38">
        <v>0</v>
      </c>
      <c r="U32" s="38">
        <v>0</v>
      </c>
      <c r="V32" s="144">
        <f t="shared" si="12"/>
        <v>3.0648399638354144E-2</v>
      </c>
      <c r="W32" s="145"/>
      <c r="X32" s="46"/>
      <c r="Y32" s="38">
        <f t="shared" si="13"/>
        <v>3.0648399638354144E-2</v>
      </c>
      <c r="Z32" s="38">
        <f t="shared" si="5"/>
        <v>0.2036941433909637</v>
      </c>
      <c r="AA32" s="38"/>
      <c r="AB32" s="115">
        <f t="shared" si="6"/>
        <v>4.9893213155403959</v>
      </c>
      <c r="AC32" s="115"/>
      <c r="AD32" s="39">
        <f t="shared" si="7"/>
        <v>5</v>
      </c>
      <c r="AL32" s="85"/>
      <c r="AM32" s="52"/>
    </row>
    <row r="33" spans="1:39" ht="13.5" customHeight="1" x14ac:dyDescent="0.25">
      <c r="A33" s="23">
        <f t="shared" si="17"/>
        <v>200</v>
      </c>
      <c r="B33" s="144">
        <f t="shared" si="9"/>
        <v>7.4074074074074083</v>
      </c>
      <c r="C33" s="145"/>
      <c r="D33" s="144">
        <f t="shared" si="14"/>
        <v>1.5384615384615385</v>
      </c>
      <c r="E33" s="145"/>
      <c r="F33" s="144">
        <f t="shared" si="0"/>
        <v>7.547407407407408</v>
      </c>
      <c r="G33" s="145"/>
      <c r="H33" s="46"/>
      <c r="I33" s="38">
        <f t="shared" si="15"/>
        <v>0.13249582883501815</v>
      </c>
      <c r="J33" s="144">
        <f t="shared" si="1"/>
        <v>1.6784615384615387</v>
      </c>
      <c r="K33" s="145"/>
      <c r="L33" s="38">
        <f t="shared" si="16"/>
        <v>0.59578368469294218</v>
      </c>
      <c r="M33" s="144">
        <f t="shared" si="10"/>
        <v>6.1497007081212658</v>
      </c>
      <c r="N33" s="145"/>
      <c r="O33" s="144">
        <f t="shared" si="2"/>
        <v>6.075598753524261</v>
      </c>
      <c r="P33" s="145"/>
      <c r="Q33" s="45">
        <f t="shared" si="3"/>
        <v>0</v>
      </c>
      <c r="R33" s="38">
        <f t="shared" si="4"/>
        <v>6.075598753524261</v>
      </c>
      <c r="S33" s="38">
        <f t="shared" si="11"/>
        <v>0.16459283118720305</v>
      </c>
      <c r="T33" s="38">
        <v>0</v>
      </c>
      <c r="U33" s="38">
        <v>0</v>
      </c>
      <c r="V33" s="144">
        <f t="shared" si="12"/>
        <v>2.9186645578053158E-2</v>
      </c>
      <c r="W33" s="145"/>
      <c r="X33" s="46"/>
      <c r="Y33" s="38">
        <f t="shared" si="13"/>
        <v>2.9186645578053158E-2</v>
      </c>
      <c r="Z33" s="38">
        <f t="shared" si="5"/>
        <v>0.1937794767652562</v>
      </c>
      <c r="AA33" s="38"/>
      <c r="AB33" s="115">
        <f t="shared" si="6"/>
        <v>5.2405052128992828</v>
      </c>
      <c r="AC33" s="115"/>
      <c r="AD33" s="39">
        <f t="shared" si="7"/>
        <v>5.2</v>
      </c>
      <c r="AL33" s="85"/>
      <c r="AM33" s="52"/>
    </row>
    <row r="34" spans="1:39" ht="13.5" customHeight="1" x14ac:dyDescent="0.25">
      <c r="A34" s="23">
        <f t="shared" si="17"/>
        <v>210</v>
      </c>
      <c r="B34" s="144">
        <f t="shared" si="9"/>
        <v>7.7777777777777777</v>
      </c>
      <c r="C34" s="145"/>
      <c r="D34" s="144">
        <f t="shared" si="14"/>
        <v>1.6153846153846152</v>
      </c>
      <c r="E34" s="145"/>
      <c r="F34" s="144">
        <f t="shared" si="0"/>
        <v>7.9177777777777774</v>
      </c>
      <c r="G34" s="145"/>
      <c r="H34" s="46"/>
      <c r="I34" s="38">
        <f t="shared" si="15"/>
        <v>0.12629806342969407</v>
      </c>
      <c r="J34" s="144">
        <f t="shared" si="1"/>
        <v>1.7553846153846153</v>
      </c>
      <c r="K34" s="145"/>
      <c r="L34" s="38">
        <f t="shared" si="16"/>
        <v>0.56967572304995617</v>
      </c>
      <c r="M34" s="144">
        <f t="shared" si="10"/>
        <v>6.4467212432357428</v>
      </c>
      <c r="N34" s="145"/>
      <c r="O34" s="144">
        <f t="shared" si="2"/>
        <v>6.3723786912004741</v>
      </c>
      <c r="P34" s="145"/>
      <c r="Q34" s="45">
        <f t="shared" si="3"/>
        <v>0</v>
      </c>
      <c r="R34" s="38">
        <f t="shared" si="4"/>
        <v>6.3723786912004741</v>
      </c>
      <c r="S34" s="38">
        <f t="shared" si="11"/>
        <v>0.15692727134702236</v>
      </c>
      <c r="T34" s="38">
        <v>0</v>
      </c>
      <c r="U34" s="38">
        <v>0</v>
      </c>
      <c r="V34" s="144">
        <f t="shared" si="12"/>
        <v>2.7857907929681142E-2</v>
      </c>
      <c r="W34" s="145"/>
      <c r="X34" s="46"/>
      <c r="Y34" s="38">
        <f t="shared" si="13"/>
        <v>2.7857907929681142E-2</v>
      </c>
      <c r="Z34" s="38">
        <f t="shared" si="5"/>
        <v>0.18478517927670352</v>
      </c>
      <c r="AA34" s="38"/>
      <c r="AB34" s="115">
        <f t="shared" si="6"/>
        <v>5.4916894218154075</v>
      </c>
      <c r="AC34" s="115"/>
      <c r="AD34" s="39">
        <f t="shared" si="7"/>
        <v>5.5</v>
      </c>
      <c r="AL34" s="85"/>
      <c r="AM34" s="52"/>
    </row>
    <row r="35" spans="1:39" ht="13.5" customHeight="1" x14ac:dyDescent="0.25">
      <c r="A35" s="41">
        <f t="shared" si="17"/>
        <v>220</v>
      </c>
      <c r="B35" s="136">
        <f t="shared" si="9"/>
        <v>8.1481481481481488</v>
      </c>
      <c r="C35" s="137"/>
      <c r="D35" s="136">
        <f t="shared" si="14"/>
        <v>1.6923076923076923</v>
      </c>
      <c r="E35" s="137"/>
      <c r="F35" s="144">
        <f t="shared" si="0"/>
        <v>8.2881481481481476</v>
      </c>
      <c r="G35" s="145"/>
      <c r="H35" s="47"/>
      <c r="I35" s="48">
        <f t="shared" si="15"/>
        <v>0.12065421396013944</v>
      </c>
      <c r="J35" s="144">
        <f t="shared" si="1"/>
        <v>1.8323076923076924</v>
      </c>
      <c r="K35" s="145"/>
      <c r="L35" s="48">
        <f t="shared" si="16"/>
        <v>0.54575986565910994</v>
      </c>
      <c r="M35" s="136">
        <f t="shared" si="10"/>
        <v>6.7437212656402208</v>
      </c>
      <c r="N35" s="137"/>
      <c r="O35" s="144">
        <f t="shared" si="2"/>
        <v>6.6691586288766871</v>
      </c>
      <c r="P35" s="145"/>
      <c r="Q35" s="45">
        <f t="shared" si="3"/>
        <v>0</v>
      </c>
      <c r="R35" s="38">
        <f t="shared" si="4"/>
        <v>6.6691586288766871</v>
      </c>
      <c r="S35" s="48">
        <f t="shared" si="11"/>
        <v>0.14994395180077369</v>
      </c>
      <c r="T35" s="48">
        <v>0</v>
      </c>
      <c r="U35" s="48">
        <v>0</v>
      </c>
      <c r="V35" s="136">
        <f t="shared" si="12"/>
        <v>2.6644829365788655E-2</v>
      </c>
      <c r="W35" s="137"/>
      <c r="X35" s="47"/>
      <c r="Y35" s="48">
        <f t="shared" si="13"/>
        <v>2.6644829365788655E-2</v>
      </c>
      <c r="Z35" s="48">
        <f t="shared" si="5"/>
        <v>0.17658878116656235</v>
      </c>
      <c r="AA35" s="38"/>
      <c r="AB35" s="115">
        <f t="shared" si="6"/>
        <v>5.742873900560979</v>
      </c>
      <c r="AC35" s="115"/>
      <c r="AD35" s="39">
        <f t="shared" si="7"/>
        <v>5.7</v>
      </c>
      <c r="AL35" s="85"/>
      <c r="AM35" s="52"/>
    </row>
    <row r="36" spans="1:39" x14ac:dyDescent="0.25">
      <c r="A36" s="138" t="s">
        <v>71</v>
      </c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1"/>
    </row>
    <row r="37" spans="1:39" x14ac:dyDescent="0.25">
      <c r="A37" s="139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3"/>
    </row>
    <row r="38" spans="1:39" x14ac:dyDescent="0.25">
      <c r="A38" s="139"/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3"/>
    </row>
  </sheetData>
  <sheetProtection selectLockedCells="1"/>
  <mergeCells count="204">
    <mergeCell ref="S1:AD2"/>
    <mergeCell ref="F2:G2"/>
    <mergeCell ref="A3:G3"/>
    <mergeCell ref="H3:K3"/>
    <mergeCell ref="M3:R3"/>
    <mergeCell ref="S3:AD5"/>
    <mergeCell ref="A4:G4"/>
    <mergeCell ref="H4:K4"/>
    <mergeCell ref="M4:R4"/>
    <mergeCell ref="A5:I5"/>
    <mergeCell ref="J5:K5"/>
    <mergeCell ref="M5:R5"/>
    <mergeCell ref="A8:A16"/>
    <mergeCell ref="B8:C12"/>
    <mergeCell ref="D8:E12"/>
    <mergeCell ref="F8:H12"/>
    <mergeCell ref="I8:I12"/>
    <mergeCell ref="J8:K12"/>
    <mergeCell ref="A1:G1"/>
    <mergeCell ref="I1:P2"/>
    <mergeCell ref="Q1:R2"/>
    <mergeCell ref="O6:P6"/>
    <mergeCell ref="V6:X6"/>
    <mergeCell ref="AA6:AC6"/>
    <mergeCell ref="B7:C7"/>
    <mergeCell ref="F7:H7"/>
    <mergeCell ref="J7:K7"/>
    <mergeCell ref="M7:N7"/>
    <mergeCell ref="O7:P7"/>
    <mergeCell ref="V7:X7"/>
    <mergeCell ref="AA7:AC7"/>
    <mergeCell ref="B6:C6"/>
    <mergeCell ref="D6:E6"/>
    <mergeCell ref="F6:H6"/>
    <mergeCell ref="J6:K6"/>
    <mergeCell ref="M6:N6"/>
    <mergeCell ref="Z8:Z12"/>
    <mergeCell ref="AA8:AC12"/>
    <mergeCell ref="AD8:AD12"/>
    <mergeCell ref="M12:M14"/>
    <mergeCell ref="N12:N14"/>
    <mergeCell ref="I13:I16"/>
    <mergeCell ref="J13:K15"/>
    <mergeCell ref="L13:L16"/>
    <mergeCell ref="O13:P13"/>
    <mergeCell ref="T13:T16"/>
    <mergeCell ref="S8:S14"/>
    <mergeCell ref="T8:T12"/>
    <mergeCell ref="U8:U12"/>
    <mergeCell ref="V8:W13"/>
    <mergeCell ref="X8:X13"/>
    <mergeCell ref="Y8:Y12"/>
    <mergeCell ref="U13:U16"/>
    <mergeCell ref="Y13:Y16"/>
    <mergeCell ref="L8:L12"/>
    <mergeCell ref="M8:M11"/>
    <mergeCell ref="N8:N11"/>
    <mergeCell ref="O8:P12"/>
    <mergeCell ref="Q8:Q14"/>
    <mergeCell ref="R8:R14"/>
    <mergeCell ref="Z13:Z16"/>
    <mergeCell ref="AD13:AD16"/>
    <mergeCell ref="B14:C16"/>
    <mergeCell ref="D14:E16"/>
    <mergeCell ref="M15:N16"/>
    <mergeCell ref="Q15:Q16"/>
    <mergeCell ref="R15:R16"/>
    <mergeCell ref="S15:S16"/>
    <mergeCell ref="G16:H16"/>
    <mergeCell ref="V17:W17"/>
    <mergeCell ref="B18:C18"/>
    <mergeCell ref="D18:E18"/>
    <mergeCell ref="F18:G18"/>
    <mergeCell ref="J18:K18"/>
    <mergeCell ref="M18:N18"/>
    <mergeCell ref="O18:P18"/>
    <mergeCell ref="V18:W18"/>
    <mergeCell ref="B17:C17"/>
    <mergeCell ref="D17:E17"/>
    <mergeCell ref="F17:G17"/>
    <mergeCell ref="J17:K17"/>
    <mergeCell ref="M17:N17"/>
    <mergeCell ref="O17:P17"/>
    <mergeCell ref="V19:W19"/>
    <mergeCell ref="B20:C20"/>
    <mergeCell ref="D20:E20"/>
    <mergeCell ref="F20:G20"/>
    <mergeCell ref="J20:K20"/>
    <mergeCell ref="M20:N20"/>
    <mergeCell ref="O20:P20"/>
    <mergeCell ref="V20:W20"/>
    <mergeCell ref="B19:C19"/>
    <mergeCell ref="D19:E19"/>
    <mergeCell ref="F19:G19"/>
    <mergeCell ref="J19:K19"/>
    <mergeCell ref="M19:N19"/>
    <mergeCell ref="O19:P19"/>
    <mergeCell ref="V21:W21"/>
    <mergeCell ref="B22:C22"/>
    <mergeCell ref="D22:E22"/>
    <mergeCell ref="F22:G22"/>
    <mergeCell ref="J22:K22"/>
    <mergeCell ref="M22:N22"/>
    <mergeCell ref="O22:P22"/>
    <mergeCell ref="V22:W22"/>
    <mergeCell ref="B21:C21"/>
    <mergeCell ref="D21:E21"/>
    <mergeCell ref="F21:G21"/>
    <mergeCell ref="J21:K21"/>
    <mergeCell ref="M21:N21"/>
    <mergeCell ref="O21:P21"/>
    <mergeCell ref="V23:W23"/>
    <mergeCell ref="B24:C24"/>
    <mergeCell ref="D24:E24"/>
    <mergeCell ref="F24:G24"/>
    <mergeCell ref="J24:K24"/>
    <mergeCell ref="M24:N24"/>
    <mergeCell ref="O24:P24"/>
    <mergeCell ref="V24:W24"/>
    <mergeCell ref="B23:C23"/>
    <mergeCell ref="D23:E23"/>
    <mergeCell ref="F23:G23"/>
    <mergeCell ref="J23:K23"/>
    <mergeCell ref="M23:N23"/>
    <mergeCell ref="O23:P23"/>
    <mergeCell ref="V25:W25"/>
    <mergeCell ref="B26:C26"/>
    <mergeCell ref="D26:E26"/>
    <mergeCell ref="F26:G26"/>
    <mergeCell ref="J26:K26"/>
    <mergeCell ref="M26:N26"/>
    <mergeCell ref="O26:P26"/>
    <mergeCell ref="V26:W26"/>
    <mergeCell ref="B25:C25"/>
    <mergeCell ref="D25:E25"/>
    <mergeCell ref="F25:G25"/>
    <mergeCell ref="J25:K25"/>
    <mergeCell ref="M25:N25"/>
    <mergeCell ref="O25:P25"/>
    <mergeCell ref="V27:W27"/>
    <mergeCell ref="B28:C28"/>
    <mergeCell ref="D28:E28"/>
    <mergeCell ref="F28:G28"/>
    <mergeCell ref="J28:K28"/>
    <mergeCell ref="M28:N28"/>
    <mergeCell ref="O28:P28"/>
    <mergeCell ref="V28:W28"/>
    <mergeCell ref="B27:C27"/>
    <mergeCell ref="D27:E27"/>
    <mergeCell ref="F27:G27"/>
    <mergeCell ref="J27:K27"/>
    <mergeCell ref="M27:N27"/>
    <mergeCell ref="O27:P27"/>
    <mergeCell ref="V29:W29"/>
    <mergeCell ref="B30:C30"/>
    <mergeCell ref="D30:E30"/>
    <mergeCell ref="F30:G30"/>
    <mergeCell ref="J30:K30"/>
    <mergeCell ref="M30:N30"/>
    <mergeCell ref="O30:P30"/>
    <mergeCell ref="V30:W30"/>
    <mergeCell ref="B29:C29"/>
    <mergeCell ref="D29:E29"/>
    <mergeCell ref="F29:G29"/>
    <mergeCell ref="J29:K29"/>
    <mergeCell ref="M29:N29"/>
    <mergeCell ref="O29:P29"/>
    <mergeCell ref="V31:W31"/>
    <mergeCell ref="B32:C32"/>
    <mergeCell ref="D32:E32"/>
    <mergeCell ref="F32:G32"/>
    <mergeCell ref="J32:K32"/>
    <mergeCell ref="M32:N32"/>
    <mergeCell ref="O32:P32"/>
    <mergeCell ref="V32:W32"/>
    <mergeCell ref="B31:C31"/>
    <mergeCell ref="D31:E31"/>
    <mergeCell ref="F31:G31"/>
    <mergeCell ref="J31:K31"/>
    <mergeCell ref="M31:N31"/>
    <mergeCell ref="O31:P31"/>
    <mergeCell ref="V33:W33"/>
    <mergeCell ref="B34:C34"/>
    <mergeCell ref="D34:E34"/>
    <mergeCell ref="F34:G34"/>
    <mergeCell ref="J34:K34"/>
    <mergeCell ref="M34:N34"/>
    <mergeCell ref="O34:P34"/>
    <mergeCell ref="V34:W34"/>
    <mergeCell ref="B33:C33"/>
    <mergeCell ref="D33:E33"/>
    <mergeCell ref="F33:G33"/>
    <mergeCell ref="J33:K33"/>
    <mergeCell ref="M33:N33"/>
    <mergeCell ref="O33:P33"/>
    <mergeCell ref="V35:W35"/>
    <mergeCell ref="A36:A38"/>
    <mergeCell ref="B36:AD38"/>
    <mergeCell ref="B35:C35"/>
    <mergeCell ref="D35:E35"/>
    <mergeCell ref="F35:G35"/>
    <mergeCell ref="J35:K35"/>
    <mergeCell ref="M35:N35"/>
    <mergeCell ref="O35:P35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Drop Down 1">
              <controlPr defaultSize="0" autoLine="0" autoPict="0">
                <anchor moveWithCells="1" sizeWithCells="1">
                  <from>
                    <xdr:col>3</xdr:col>
                    <xdr:colOff>9525</xdr:colOff>
                    <xdr:row>0</xdr:row>
                    <xdr:rowOff>0</xdr:rowOff>
                  </from>
                  <to>
                    <xdr:col>7</xdr:col>
                    <xdr:colOff>552450</xdr:colOff>
                    <xdr:row>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Drop Down 2">
              <controlPr defaultSize="0" autoLine="0" autoPict="0">
                <anchor moveWithCells="1" sizeWithCells="1">
                  <from>
                    <xdr:col>3</xdr:col>
                    <xdr:colOff>9525</xdr:colOff>
                    <xdr:row>2</xdr:row>
                    <xdr:rowOff>0</xdr:rowOff>
                  </from>
                  <to>
                    <xdr:col>7</xdr:col>
                    <xdr:colOff>19050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Drop Down 3">
              <controlPr defaultSize="0" autoLine="0" autoPict="0">
                <anchor moveWithCells="1" sizeWithCells="1">
                  <from>
                    <xdr:col>8</xdr:col>
                    <xdr:colOff>133350</xdr:colOff>
                    <xdr:row>3</xdr:row>
                    <xdr:rowOff>219075</xdr:rowOff>
                  </from>
                  <to>
                    <xdr:col>9</xdr:col>
                    <xdr:colOff>19050</xdr:colOff>
                    <xdr:row>4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776A3F504744AA75FEC82873877AB" ma:contentTypeVersion="17" ma:contentTypeDescription="Een nieuw document maken." ma:contentTypeScope="" ma:versionID="70fe99ab3252305ec5cdc35d7e10165b">
  <xsd:schema xmlns:xsd="http://www.w3.org/2001/XMLSchema" xmlns:xs="http://www.w3.org/2001/XMLSchema" xmlns:p="http://schemas.microsoft.com/office/2006/metadata/properties" xmlns:ns2="498d7859-1373-4bf9-8fa2-88423381b8d8" xmlns:ns3="fb2daf79-e58f-48d4-9425-3217bcb3a064" targetNamespace="http://schemas.microsoft.com/office/2006/metadata/properties" ma:root="true" ma:fieldsID="175d2f329eac993076908d9d66c4779e" ns2:_="" ns3:_="">
    <xsd:import namespace="498d7859-1373-4bf9-8fa2-88423381b8d8"/>
    <xsd:import namespace="fb2daf79-e58f-48d4-9425-3217bcb3a0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d7859-1373-4bf9-8fa2-88423381b8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359e7ef6-fd9c-4595-8349-21eaa92549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2daf79-e58f-48d4-9425-3217bcb3a06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7dfa265-16fe-4d32-b185-8ee7da6b9246}" ma:internalName="TaxCatchAll" ma:showField="CatchAllData" ma:web="fb2daf79-e58f-48d4-9425-3217bcb3a0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98d7859-1373-4bf9-8fa2-88423381b8d8">
      <Terms xmlns="http://schemas.microsoft.com/office/infopath/2007/PartnerControls"/>
    </lcf76f155ced4ddcb4097134ff3c332f>
    <TaxCatchAll xmlns="fb2daf79-e58f-48d4-9425-3217bcb3a064" xsi:nil="true"/>
  </documentManagement>
</p:properties>
</file>

<file path=customXml/itemProps1.xml><?xml version="1.0" encoding="utf-8"?>
<ds:datastoreItem xmlns:ds="http://schemas.openxmlformats.org/officeDocument/2006/customXml" ds:itemID="{289C0E39-7A13-47BB-9A97-CD49C3BC29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80D8D4-46E8-4487-8016-59D328C1CFD7}"/>
</file>

<file path=customXml/itemProps3.xml><?xml version="1.0" encoding="utf-8"?>
<ds:datastoreItem xmlns:ds="http://schemas.openxmlformats.org/officeDocument/2006/customXml" ds:itemID="{7426BB48-F289-4520-A0F0-F3AE20D6556B}">
  <ds:schemaRefs>
    <ds:schemaRef ds:uri="http://www.w3.org/XML/1998/namespace"/>
    <ds:schemaRef ds:uri="http://schemas.microsoft.com/office/2006/documentManagement/types"/>
    <ds:schemaRef ds:uri="http://purl.org/dc/dcmitype/"/>
    <ds:schemaRef ds:uri="498d7859-1373-4bf9-8fa2-88423381b8d8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fb2daf79-e58f-48d4-9425-3217bcb3a06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Rc-waarden verklaring</vt:lpstr>
      <vt:lpstr>Lambda D</vt:lpstr>
      <vt:lpstr>Gevel</vt:lpstr>
      <vt:lpstr>Vloer</vt:lpstr>
      <vt:lpstr>Dak ononderbroken</vt:lpstr>
      <vt:lpstr>Dak tussen de gordingen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Ramon Albrecht | BCRG</cp:lastModifiedBy>
  <dcterms:created xsi:type="dcterms:W3CDTF">2020-07-02T09:00:24Z</dcterms:created>
  <dcterms:modified xsi:type="dcterms:W3CDTF">2024-01-30T12:40:14Z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0x010100CCA776A3F504744AA75FEC82873877AB</vt:lpwstr>
  </property>
  <property fmtid="{D5CDD505-2E9C-101B-9397-08002B2CF9AE}" pid="3" name="MediaServiceImageTags">
    <vt:lpwstr/>
  </property>
</Properties>
</file>